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Liquidación" sheetId="2" state="visible" r:id="rId2"/>
    <sheet name="Equipo" sheetId="3" state="visible" r:id="rId3"/>
    <sheet name="Indicadores" sheetId="4" state="visible" r:id="rId4"/>
  </sheets>
  <definedNames>
    <definedName name="ValorUF">'Indicadores'!$B$5</definedName>
    <definedName name="ValorUTM">'Indicadores'!$B$6</definedName>
    <definedName name="IngresoMinimo">'Indicadores'!$B$7</definedName>
    <definedName name="TopeImponibleUF">'Indicadores'!$B$10</definedName>
    <definedName name="TopeCesantiaUF">'Indicadores'!$B$11</definedName>
    <definedName name="TopeImponible">'Indicadores'!$B$12</definedName>
    <definedName name="TopeCesantia">'Indicadores'!$B$13</definedName>
    <definedName name="CotizacionAFP">'Indicadores'!$B$16</definedName>
    <definedName name="TasaSalud">'Indicadores'!$B$17</definedName>
    <definedName name="TablaAFP">'Indicadores'!$A$19:$B$25</definedName>
    <definedName name="ComisionesAFP">'Indicadores'!$B$19:$B$25</definedName>
    <definedName name="TablaCesantia">'Indicadores'!$A$29:$C$31</definedName>
    <definedName name="CesantiaTrabajador">'Indicadores'!$B$29:$B$31</definedName>
    <definedName name="CesantiaEmpleador">'Indicadores'!$C$29:$C$31</definedName>
    <definedName name="SSCuenta">'Indicadores'!$B$34</definedName>
    <definedName name="SSRentabilidad">'Indicadores'!$B$35</definedName>
    <definedName name="SSInvalidez">'Indicadores'!$B$36</definedName>
    <definedName name="SSExpectativa">'Indicadores'!$B$37</definedName>
    <definedName name="SeguroSocial">'Indicadores'!$B$38</definedName>
    <definedName name="AccidentesBasica">'Indicadores'!$B$39</definedName>
    <definedName name="GratTasa">'Indicadores'!$B$42</definedName>
    <definedName name="GratTopeIMM">'Indicadores'!$B$43</definedName>
    <definedName name="TopeGratificacion">'Indicadores'!$B$44</definedName>
    <definedName name="JornadaMaxima">'Indicadores'!$B$45</definedName>
    <definedName name="RecargoHE">'Indicadores'!$B$46</definedName>
    <definedName name="TramosHasta">'Indicadores'!$G$50:$G$57</definedName>
    <definedName name="TramosFactor">'Indicadores'!$D$50:$D$57</definedName>
    <definedName name="TramosRebaja">'Indicadores'!$E$50:$E$57</definedName>
    <definedName name="AFHasta">'Indicadores'!$B$62:$B$65</definedName>
    <definedName name="AFMonto">'Indicadores'!$C$62:$C$65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&quot;$&quot;#,##0"/>
    <numFmt numFmtId="165" formatCode="&quot;$&quot;#,##0.00"/>
    <numFmt numFmtId="166" formatCode="&quot;Tope del mes: $&quot;#,##0"/>
    <numFmt numFmtId="167" formatCode="&quot;Por carga: $&quot;#,##0"/>
    <numFmt numFmtId="168" formatCode="&quot;Tasa: &quot;0.00%"/>
    <numFmt numFmtId="169" formatCode="&quot;Tasa: &quot;0.0%"/>
    <numFmt numFmtId="170" formatCode="&quot;Salud que se rebaja: $&quot;#,##0"/>
    <numFmt numFmtId="171" formatCode="&quot;Factor del tramo: &quot;0.0%"/>
    <numFmt numFmtId="172" formatCode="&quot;Tope: $&quot;#,##0"/>
    <numFmt numFmtId="173" formatCode="0.0%"/>
    <numFmt numFmtId="174" formatCode="#,##0.0#"/>
    <numFmt numFmtId="175" formatCode="[&gt;=1000000000]&quot;Sin tope&quot;;#,##0.0#"/>
    <numFmt numFmtId="176" formatCode="[&gt;=1000000000]&quot;Sin tope&quot;;&quot;$&quot;#,##0.00"/>
    <numFmt numFmtId="177" formatCode="[&gt;=1000000000]&quot;Sin tope&quot;;&quot;$&quot;#,##0"/>
  </numFmts>
  <fonts count="7">
    <font>
      <name val="Calibri"/>
      <family val="2"/>
      <color theme="1"/>
      <sz val="11"/>
      <scheme val="minor"/>
    </font>
    <font>
      <b val="1"/>
      <sz val="14"/>
    </font>
    <font>
      <color rgb="005F6368"/>
      <sz val="10"/>
    </font>
    <font>
      <color rgb="001F5FAD"/>
      <u val="single"/>
    </font>
    <font>
      <b val="1"/>
    </font>
    <font>
      <b val="1"/>
      <sz val="12"/>
    </font>
    <font>
      <b val="1"/>
      <color rgb="009C2B1E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2CC"/>
      </patternFill>
    </fill>
    <fill>
      <patternFill patternType="solid">
        <fgColor rgb="00DDEBDD"/>
      </patternFill>
    </fill>
  </fills>
  <borders count="3">
    <border>
      <left/>
      <right/>
      <top/>
      <bottom/>
      <diagonal/>
    </border>
    <border>
      <top style="thin">
        <color rgb="009AA5B1"/>
      </top>
    </border>
    <border>
      <bottom style="thin">
        <color rgb="009AA5B1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164" fontId="0" fillId="3" borderId="0" applyProtection="1" pivotButton="0" quotePrefix="0" xfId="0">
      <protection locked="0" hidden="0"/>
    </xf>
    <xf numFmtId="0" fontId="0" fillId="3" borderId="0" applyProtection="1" pivotButton="0" quotePrefix="0" xfId="0">
      <protection locked="0" hidden="0"/>
    </xf>
    <xf numFmtId="2" fontId="0" fillId="3" borderId="0" applyProtection="1" pivotButton="0" quotePrefix="0" xfId="0">
      <protection locked="0" hidden="0"/>
    </xf>
    <xf numFmtId="1" fontId="0" fillId="3" borderId="0" applyProtection="1" pivotButton="0" quotePrefix="0" xfId="0">
      <protection locked="0" hidden="0"/>
    </xf>
    <xf numFmtId="10" fontId="0" fillId="3" borderId="0" applyProtection="1" pivotButton="0" quotePrefix="0" xfId="0">
      <protection locked="0" hidden="0"/>
    </xf>
    <xf numFmtId="164" fontId="0" fillId="0" borderId="0" pivotButton="0" quotePrefix="0" xfId="0"/>
    <xf numFmtId="165" fontId="0" fillId="0" borderId="0" pivotButton="0" quotePrefix="0" xfId="0"/>
    <xf numFmtId="166" fontId="2" fillId="0" borderId="0" applyAlignment="1" pivotButton="0" quotePrefix="0" xfId="0">
      <alignment horizontal="left"/>
    </xf>
    <xf numFmtId="0" fontId="4" fillId="0" borderId="1" pivotButton="0" quotePrefix="0" xfId="0"/>
    <xf numFmtId="164" fontId="4" fillId="0" borderId="1" pivotButton="0" quotePrefix="0" xfId="0"/>
    <xf numFmtId="167" fontId="2" fillId="0" borderId="0" applyAlignment="1" pivotButton="0" quotePrefix="0" xfId="0">
      <alignment horizontal="left"/>
    </xf>
    <xf numFmtId="168" fontId="2" fillId="0" borderId="0" applyAlignment="1" pivotButton="0" quotePrefix="0" xfId="0">
      <alignment horizontal="left"/>
    </xf>
    <xf numFmtId="169" fontId="2" fillId="0" borderId="0" applyAlignment="1" pivotButton="0" quotePrefix="0" xfId="0">
      <alignment horizontal="left"/>
    </xf>
    <xf numFmtId="170" fontId="2" fillId="0" borderId="0" applyAlignment="1" pivotButton="0" quotePrefix="0" xfId="0">
      <alignment horizontal="left"/>
    </xf>
    <xf numFmtId="171" fontId="2" fillId="0" borderId="0" applyAlignment="1" pivotButton="0" quotePrefix="0" xfId="0">
      <alignment horizontal="left"/>
    </xf>
    <xf numFmtId="0" fontId="5" fillId="4" borderId="1" pivotButton="0" quotePrefix="0" xfId="0"/>
    <xf numFmtId="164" fontId="5" fillId="4" borderId="1" pivotButton="0" quotePrefix="0" xfId="0"/>
    <xf numFmtId="164" fontId="2" fillId="0" borderId="0" pivotButton="0" quotePrefix="0" xfId="0"/>
    <xf numFmtId="0" fontId="6" fillId="0" borderId="0" pivotButton="0" quotePrefix="0" xfId="0"/>
    <xf numFmtId="172" fontId="2" fillId="0" borderId="0" applyAlignment="1" pivotButton="0" quotePrefix="0" xfId="0">
      <alignment horizontal="left"/>
    </xf>
    <xf numFmtId="10" fontId="0" fillId="0" borderId="0" pivotButton="0" quotePrefix="0" xfId="0"/>
    <xf numFmtId="1" fontId="0" fillId="0" borderId="0" pivotButton="0" quotePrefix="0" xfId="0"/>
    <xf numFmtId="173" fontId="0" fillId="0" borderId="0" pivotButton="0" quotePrefix="0" xfId="0"/>
    <xf numFmtId="0" fontId="4" fillId="3" borderId="0" pivotButton="0" quotePrefix="0" xfId="0"/>
    <xf numFmtId="0" fontId="4" fillId="4" borderId="0" pivotButton="0" quotePrefix="0" xfId="0"/>
    <xf numFmtId="0" fontId="4" fillId="0" borderId="2" applyAlignment="1" pivotButton="0" quotePrefix="0" xfId="0">
      <alignment vertical="bottom" wrapText="1"/>
    </xf>
    <xf numFmtId="164" fontId="0" fillId="4" borderId="0" pivotButton="0" quotePrefix="0" xfId="0"/>
    <xf numFmtId="164" fontId="4" fillId="4" borderId="0" pivotButton="0" quotePrefix="0" xfId="0"/>
    <xf numFmtId="4" fontId="0" fillId="3" borderId="0" applyProtection="1" pivotButton="0" quotePrefix="0" xfId="0">
      <protection locked="0" hidden="0"/>
    </xf>
    <xf numFmtId="174" fontId="0" fillId="3" borderId="0" applyProtection="1" pivotButton="0" quotePrefix="0" xfId="0">
      <protection locked="0" hidden="0"/>
    </xf>
    <xf numFmtId="0" fontId="4" fillId="0" borderId="2" applyAlignment="1" pivotButton="0" quotePrefix="0" xfId="0">
      <alignment wrapText="1"/>
    </xf>
    <xf numFmtId="0" fontId="4" fillId="0" borderId="2" applyAlignment="1" pivotButton="0" quotePrefix="0" xfId="0">
      <alignment horizontal="right" wrapText="1"/>
    </xf>
    <xf numFmtId="173" fontId="0" fillId="3" borderId="0" applyProtection="1" pivotButton="0" quotePrefix="0" xfId="0">
      <protection locked="0" hidden="0"/>
    </xf>
    <xf numFmtId="9" fontId="0" fillId="3" borderId="0" applyProtection="1" pivotButton="0" quotePrefix="0" xfId="0">
      <protection locked="0" hidden="0"/>
    </xf>
    <xf numFmtId="174" fontId="0" fillId="0" borderId="0" pivotButton="0" quotePrefix="0" xfId="0"/>
    <xf numFmtId="175" fontId="0" fillId="3" borderId="0" applyProtection="1" pivotButton="0" quotePrefix="0" xfId="0">
      <protection locked="0" hidden="0"/>
    </xf>
    <xf numFmtId="176" fontId="0" fillId="0" borderId="0" pivotButton="0" quotePrefix="0" xfId="0"/>
    <xf numFmtId="177" fontId="0" fillId="3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Sueldo líquido y costo empresa</t>
        </is>
      </c>
    </row>
    <row r="3" ht="32" customHeight="1">
      <c r="A3" s="2" t="inlineStr">
        <is>
          <t>1. En «Liquidación», cambia las celdas con fondo amarillo claro por los datos de tu trabajador. Lo demás se calcula con fórmulas.</t>
        </is>
      </c>
    </row>
    <row r="4" ht="32" customHeight="1">
      <c r="A4" s="2" t="inlineStr">
        <is>
          <t>2. Para varios trabajadores, usa «Equipo»: una fila por persona, hasta 30, con los totales del mes. Ahí no van desgaste, viáticos, pérdida de caja ni cargas: para eso, usa «Liquidación».</t>
        </is>
      </c>
    </row>
    <row r="5" ht="32" customHeight="1">
      <c r="A5" s="2" t="inlineStr">
        <is>
          <t>3. Las cifras son de octubre de 2026. Cada mes cambian la UTM, la UF y la tabla del impuesto único: cámbialas en «Indicadores».</t>
        </is>
      </c>
    </row>
    <row r="6" ht="32" customHeight="1">
      <c r="A6" s="2" t="inlineStr">
        <is>
          <t>4. Supone un trabajador menor de 65 años, no pensionado y afiliado a una AFP.</t>
        </is>
      </c>
    </row>
    <row r="8">
      <c r="A8" s="3" t="inlineStr">
        <is>
          <t>Las fórmulas están protegidas sin contraseña para que no se borren por error: Excel pide quitar la protección de la hoja para cambiarlas y Google Sheets avisa antes de hacerlo.</t>
        </is>
      </c>
    </row>
    <row r="10">
      <c r="A10" t="inlineStr">
        <is>
          <t>Planilla de Jean Paul Troncoso, Contador Auditor (consultorIA). Si tienes un caso especial, escríbeme.</t>
        </is>
      </c>
    </row>
    <row r="11">
      <c r="A11" s="4">
        <f>HYPERLINK("https://wa.me/56996131506?text=Hola%20Jean%20Paul%2C%20tengo%20una%20consulta%20sobre%20la%20planilla%20de%20sueldo%20l%C3%ADquido%20y%20costo%20empresa.","Escríbeme por WhatsApp")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2" customWidth="1" min="3" max="3"/>
  </cols>
  <sheetData>
    <row r="1">
      <c r="A1" s="1" t="inlineStr">
        <is>
          <t>Sueldo líquido y costo empresa</t>
        </is>
      </c>
    </row>
    <row r="2" ht="30" customHeight="1">
      <c r="A2" s="2" t="inlineStr">
        <is>
          <t>Datos de ejemplo: cambia las celdas con fondo amarillo claro por los de tu trabajador. Cifras de octubre de 2026 (hoja «Indicadores»).</t>
        </is>
      </c>
    </row>
    <row r="4">
      <c r="A4" s="5" t="inlineStr">
        <is>
          <t>Datos del trabajador</t>
        </is>
      </c>
      <c r="B4" s="6" t="n"/>
      <c r="C4" s="6" t="n"/>
    </row>
    <row r="5">
      <c r="A5" t="inlineStr">
        <is>
          <t>Sueldo base mensual</t>
        </is>
      </c>
      <c r="B5" s="7" t="n">
        <v>800000</v>
      </c>
    </row>
    <row r="6">
      <c r="A6" t="inlineStr">
        <is>
          <t>Contrato</t>
        </is>
      </c>
      <c r="B6" s="8" t="inlineStr">
        <is>
          <t>Indefinido</t>
        </is>
      </c>
    </row>
    <row r="7">
      <c r="A7" t="inlineStr">
        <is>
          <t>AFP</t>
        </is>
      </c>
      <c r="B7" s="8" t="inlineStr">
        <is>
          <t>Modelo</t>
        </is>
      </c>
    </row>
    <row r="8">
      <c r="A8" t="inlineStr">
        <is>
          <t>Salud</t>
        </is>
      </c>
      <c r="B8" s="8" t="inlineStr">
        <is>
          <t>Fonasa</t>
        </is>
      </c>
    </row>
    <row r="9">
      <c r="A9" t="inlineStr">
        <is>
          <t>Plan de Isapre (UF al mes)</t>
        </is>
      </c>
      <c r="B9" s="9" t="n">
        <v>0</v>
      </c>
      <c r="C9" s="3" t="inlineStr">
        <is>
          <t>Solo con Isapre. Si el plan cuesta más que la cotización legal, la diferencia se descuenta aparte.</t>
        </is>
      </c>
    </row>
    <row r="10">
      <c r="A10" t="inlineStr">
        <is>
          <t>Gratificación legal</t>
        </is>
      </c>
      <c r="B10" s="8" t="inlineStr">
        <is>
          <t>Sí</t>
        </is>
      </c>
      <c r="C10" s="3" t="inlineStr">
        <is>
          <t>Sobre sueldo, horas extra y bonos, con tope mensual.</t>
        </is>
      </c>
    </row>
    <row r="11">
      <c r="A11" t="inlineStr">
        <is>
          <t>Horas extra del mes</t>
        </is>
      </c>
      <c r="B11" s="8" t="n">
        <v>5</v>
      </c>
      <c r="C11" s="3" t="inlineStr">
        <is>
          <t>La ley permite hasta 2 al día.</t>
        </is>
      </c>
    </row>
    <row r="12">
      <c r="A12" t="inlineStr">
        <is>
          <t>Jornada (horas a la semana)</t>
        </is>
      </c>
      <c r="B12" s="8" t="n">
        <v>42</v>
      </c>
      <c r="C12" s="3" t="inlineStr">
        <is>
          <t>La completa es la de «Indicadores».</t>
        </is>
      </c>
    </row>
    <row r="13">
      <c r="A13" t="inlineStr">
        <is>
          <t>Bonos imponibles</t>
        </is>
      </c>
      <c r="B13" s="7" t="n">
        <v>0</v>
      </c>
    </row>
    <row r="14">
      <c r="A14" t="inlineStr">
        <is>
          <t>Colación</t>
        </is>
      </c>
      <c r="B14" s="7" t="n">
        <v>50000</v>
      </c>
      <c r="C14" s="3" t="inlineStr">
        <is>
          <t>No imponible: se suma al líquido.</t>
        </is>
      </c>
    </row>
    <row r="15">
      <c r="A15" t="inlineStr">
        <is>
          <t>Movilización</t>
        </is>
      </c>
      <c r="B15" s="7" t="n">
        <v>40000</v>
      </c>
      <c r="C15" s="3" t="inlineStr">
        <is>
          <t>No imponible.</t>
        </is>
      </c>
    </row>
    <row r="16">
      <c r="A16" t="inlineStr">
        <is>
          <t>Desgaste de herramientas</t>
        </is>
      </c>
      <c r="B16" s="7" t="n">
        <v>0</v>
      </c>
      <c r="C16" s="3" t="inlineStr">
        <is>
          <t>No cotiza. Para el impuesto se cuenta: no hay un criterio del SII que lo libere.</t>
        </is>
      </c>
    </row>
    <row r="17">
      <c r="A17" t="inlineStr">
        <is>
          <t>Viáticos</t>
        </is>
      </c>
      <c r="B17" s="7" t="n">
        <v>0</v>
      </c>
      <c r="C17" s="3" t="inlineStr">
        <is>
          <t>No imponible.</t>
        </is>
      </c>
    </row>
    <row r="18">
      <c r="A18" t="inlineStr">
        <is>
          <t>Pérdida de caja</t>
        </is>
      </c>
      <c r="B18" s="7" t="n">
        <v>0</v>
      </c>
      <c r="C18" s="3" t="inlineStr">
        <is>
          <t>No cotiza, pero sí paga impuesto.</t>
        </is>
      </c>
    </row>
    <row r="19">
      <c r="A19" t="inlineStr">
        <is>
          <t>Cargas familiares</t>
        </is>
      </c>
      <c r="B19" s="10" t="n">
        <v>0</v>
      </c>
      <c r="C19" s="3" t="inlineStr">
        <is>
          <t>La asignación la paga la empresa y se la devuelve el Estado.</t>
        </is>
      </c>
    </row>
    <row r="20">
      <c r="A20" t="inlineStr">
        <is>
          <t>Tasa adicional de tu mutual</t>
        </is>
      </c>
      <c r="B20" s="11" t="n">
        <v>0</v>
      </c>
      <c r="C20" s="3" t="inlineStr">
        <is>
          <t>Tu mutual o el ISL te informa la de tu empresa.</t>
        </is>
      </c>
    </row>
    <row r="22">
      <c r="A22" s="5" t="inlineStr">
        <is>
          <t>Haberes</t>
        </is>
      </c>
      <c r="B22" s="6" t="n"/>
      <c r="C22" s="6" t="n"/>
    </row>
    <row r="23">
      <c r="A23" t="inlineStr">
        <is>
          <t>Ingreso mínimo para la jornada</t>
        </is>
      </c>
      <c r="B23" s="12">
        <f>IF(B68&gt;=JornadaMaxima,IngresoMinimo,ROUND(IngresoMinimo*B68/JornadaMaxima,0))</f>
        <v/>
      </c>
      <c r="C23" s="3" t="inlineStr">
        <is>
          <t>Proporcional en jornada parcial.</t>
        </is>
      </c>
    </row>
    <row r="24">
      <c r="A24" t="inlineStr">
        <is>
          <t>Valor de la hora extra</t>
        </is>
      </c>
      <c r="B24" s="13">
        <f>MAX(B69,B23)/30*28/(B68*4)*(1+RecargoHE)</f>
        <v/>
      </c>
      <c r="C24" s="3" t="inlineStr">
        <is>
          <t>Si el sueldo base es menor que el mínimo, sobre el mínimo.</t>
        </is>
      </c>
    </row>
    <row r="25">
      <c r="A25" t="inlineStr">
        <is>
          <t>Horas extra</t>
        </is>
      </c>
      <c r="B25" s="12">
        <f>ROUND(B24*B70,0)</f>
        <v/>
      </c>
    </row>
    <row r="26">
      <c r="A26" t="inlineStr">
        <is>
          <t>Bonos imponibles</t>
        </is>
      </c>
      <c r="B26" s="12">
        <f>ROUND(MAX(0,B13),0)</f>
        <v/>
      </c>
    </row>
    <row r="27">
      <c r="A27" t="inlineStr">
        <is>
          <t>Gratificación legal</t>
        </is>
      </c>
      <c r="B27" s="12">
        <f>IF(B10="Sí",MIN(ROUND(GratTasa*(B69+B25+B26),0),TopeGratificacion),0)</f>
        <v/>
      </c>
      <c r="C27" s="14">
        <f>TopeGratificacion</f>
        <v/>
      </c>
    </row>
    <row r="28">
      <c r="A28" s="15" t="inlineStr">
        <is>
          <t>Total imponible</t>
        </is>
      </c>
      <c r="B28" s="16">
        <f>B69+B25+B26+B27</f>
        <v/>
      </c>
    </row>
    <row r="29">
      <c r="A29" t="inlineStr">
        <is>
          <t>Colación</t>
        </is>
      </c>
      <c r="B29" s="12">
        <f>ROUND(MAX(0,B14),0)</f>
        <v/>
      </c>
    </row>
    <row r="30">
      <c r="A30" t="inlineStr">
        <is>
          <t>Movilización</t>
        </is>
      </c>
      <c r="B30" s="12">
        <f>ROUND(MAX(0,B15),0)</f>
        <v/>
      </c>
    </row>
    <row r="31">
      <c r="A31" t="inlineStr">
        <is>
          <t>Desgaste de herramientas</t>
        </is>
      </c>
      <c r="B31" s="12">
        <f>ROUND(MAX(0,B16),0)</f>
        <v/>
      </c>
    </row>
    <row r="32">
      <c r="A32" t="inlineStr">
        <is>
          <t>Viáticos</t>
        </is>
      </c>
      <c r="B32" s="12">
        <f>ROUND(MAX(0,B17),0)</f>
        <v/>
      </c>
    </row>
    <row r="33">
      <c r="A33" t="inlineStr">
        <is>
          <t>Pérdida de caja</t>
        </is>
      </c>
      <c r="B33" s="12">
        <f>ROUND(MAX(0,B18),0)</f>
        <v/>
      </c>
    </row>
    <row r="34">
      <c r="A34" t="inlineStr">
        <is>
          <t>Asignación familiar</t>
        </is>
      </c>
      <c r="B34" s="12">
        <f>B78*B79</f>
        <v/>
      </c>
      <c r="C34" s="17">
        <f>B79</f>
        <v/>
      </c>
    </row>
    <row r="35">
      <c r="A35" s="15" t="inlineStr">
        <is>
          <t>Total no imponible</t>
        </is>
      </c>
      <c r="B35" s="16">
        <f>B29+B30+B31+B32+B33+B34</f>
        <v/>
      </c>
    </row>
    <row r="36">
      <c r="A36" s="15" t="inlineStr">
        <is>
          <t>Total haberes</t>
        </is>
      </c>
      <c r="B36" s="16">
        <f>B28+B35</f>
        <v/>
      </c>
    </row>
    <row r="38">
      <c r="A38" s="5" t="inlineStr">
        <is>
          <t>Descuentos</t>
        </is>
      </c>
      <c r="B38" s="6" t="n"/>
      <c r="C38" s="6" t="n"/>
    </row>
    <row r="39">
      <c r="A39" t="inlineStr">
        <is>
          <t>AFP</t>
        </is>
      </c>
      <c r="B39" s="12">
        <f>ROUND(B71*B73,0)</f>
        <v/>
      </c>
      <c r="C39" s="18">
        <f>B73</f>
        <v/>
      </c>
    </row>
    <row r="40">
      <c r="A40" t="inlineStr">
        <is>
          <t>Salud: cotización legal</t>
        </is>
      </c>
      <c r="B40" s="12">
        <f>ROUND(B71*TasaSalud,0)</f>
        <v/>
      </c>
      <c r="C40" s="19">
        <f>TasaSalud</f>
        <v/>
      </c>
    </row>
    <row r="41">
      <c r="A41" t="inlineStr">
        <is>
          <t>Adicional de Isapre</t>
        </is>
      </c>
      <c r="B41" s="12">
        <f>B42-B40</f>
        <v/>
      </c>
      <c r="C41" s="3" t="inlineStr">
        <is>
          <t>Lo que el plan cuesta sobre la cotización legal.</t>
        </is>
      </c>
    </row>
    <row r="42">
      <c r="A42" t="inlineStr">
        <is>
          <t>Salud (total)</t>
        </is>
      </c>
      <c r="B42" s="12">
        <f>MAX(B40,B74)</f>
        <v/>
      </c>
    </row>
    <row r="43">
      <c r="A43" t="inlineStr">
        <is>
          <t>Seguro de cesantía</t>
        </is>
      </c>
      <c r="B43" s="12">
        <f>ROUND(B72*B80,0)</f>
        <v/>
      </c>
      <c r="C43" s="19">
        <f>B80</f>
        <v/>
      </c>
    </row>
    <row r="44">
      <c r="A44" t="inlineStr">
        <is>
          <t>Base del impuesto</t>
        </is>
      </c>
      <c r="B44" s="12">
        <f>MAX(0,B28+B33+B31-B39-B75-B43)</f>
        <v/>
      </c>
      <c r="C44" s="20">
        <f>B75</f>
        <v/>
      </c>
    </row>
    <row r="45">
      <c r="A45" t="inlineStr">
        <is>
          <t>Impuesto único</t>
        </is>
      </c>
      <c r="B45" s="12">
        <f>MAX(0,ROUND(B44*B77-INDEX(TramosRebaja,B76)*ValorUTM,0))</f>
        <v/>
      </c>
      <c r="C45" s="21">
        <f>B77</f>
        <v/>
      </c>
    </row>
    <row r="46">
      <c r="A46" s="15" t="inlineStr">
        <is>
          <t>Total descuentos</t>
        </is>
      </c>
      <c r="B46" s="16">
        <f>B39+B42+B43+B45</f>
        <v/>
      </c>
    </row>
    <row r="48">
      <c r="A48" s="22" t="inlineStr">
        <is>
          <t>Sueldo líquido</t>
        </is>
      </c>
      <c r="B48" s="23">
        <f>B28+B35-B46</f>
        <v/>
      </c>
    </row>
    <row r="50">
      <c r="A50" s="5" t="inlineStr">
        <is>
          <t>Costo empresa</t>
        </is>
      </c>
      <c r="B50" s="6" t="n"/>
      <c r="C50" s="6" t="n"/>
    </row>
    <row r="51">
      <c r="A51" t="inlineStr">
        <is>
          <t>Lo que recibe el trabajador, sin descuentos</t>
        </is>
      </c>
      <c r="B51" s="12">
        <f>B28+B35-B34</f>
        <v/>
      </c>
      <c r="C51" s="3" t="inlineStr">
        <is>
          <t>Sin la asignación familiar.</t>
        </is>
      </c>
    </row>
    <row r="52">
      <c r="A52" t="inlineStr">
        <is>
          <t>Aporte del empleador (Ley 21.735)</t>
        </is>
      </c>
      <c r="B52" s="12">
        <f>B53+B54+B55+B56</f>
        <v/>
      </c>
      <c r="C52" s="18">
        <f>SSCuenta+SSRentabilidad+SSInvalidez+SSExpectativa</f>
        <v/>
      </c>
    </row>
    <row r="53">
      <c r="A53" s="3" t="inlineStr">
        <is>
          <t xml:space="preserve">   A la cuenta de la AFP del trabajador</t>
        </is>
      </c>
      <c r="B53" s="24">
        <f>ROUND(B71*SSCuenta,0)</f>
        <v/>
      </c>
    </row>
    <row r="54">
      <c r="A54" s="3" t="inlineStr">
        <is>
          <t xml:space="preserve">   Rentabilidad protegida</t>
        </is>
      </c>
      <c r="B54" s="24">
        <f>ROUND(B71*SSRentabilidad,0)</f>
        <v/>
      </c>
    </row>
    <row r="55">
      <c r="A55" s="3" t="inlineStr">
        <is>
          <t xml:space="preserve">   Seguro Social: invalidez y sobrevivencia</t>
        </is>
      </c>
      <c r="B55" s="24">
        <f>ROUND(B71*SSInvalidez,0)</f>
        <v/>
      </c>
    </row>
    <row r="56">
      <c r="A56" s="3" t="inlineStr">
        <is>
          <t xml:space="preserve">   Seguro Social: expectativa de vida</t>
        </is>
      </c>
      <c r="B56" s="24">
        <f>ROUND(B71*SSExpectativa,0)</f>
        <v/>
      </c>
    </row>
    <row r="57">
      <c r="A57" t="inlineStr">
        <is>
          <t>Seguro de cesantía del empleador</t>
        </is>
      </c>
      <c r="B57" s="12">
        <f>ROUND(B72*B81,0)</f>
        <v/>
      </c>
      <c r="C57" s="19">
        <f>B81</f>
        <v/>
      </c>
    </row>
    <row r="58">
      <c r="A58" t="inlineStr">
        <is>
          <t>Seguro de accidentes</t>
        </is>
      </c>
      <c r="B58" s="12">
        <f>ROUND(B71*B82,0)</f>
        <v/>
      </c>
      <c r="C58" s="18">
        <f>B82</f>
        <v/>
      </c>
    </row>
    <row r="59">
      <c r="A59" s="15" t="inlineStr">
        <is>
          <t>Aportes del empleador</t>
        </is>
      </c>
      <c r="B59" s="16">
        <f>B52+B57+B58</f>
        <v/>
      </c>
    </row>
    <row r="60">
      <c r="A60" s="22" t="inlineStr">
        <is>
          <t>Costo empresa</t>
        </is>
      </c>
      <c r="B60" s="23">
        <f>B51+B59</f>
        <v/>
      </c>
    </row>
    <row r="62">
      <c r="A62" s="5" t="inlineStr">
        <is>
          <t>Avisos</t>
        </is>
      </c>
      <c r="B62" s="6" t="n"/>
      <c r="C62" s="6" t="n"/>
    </row>
    <row r="63">
      <c r="A63" s="25">
        <f>IF(B69&lt;B23,"El sueldo no puede ser menor que el mínimo para esa jornada (fila «Ingreso mínimo para la jornada»).","")</f>
        <v/>
      </c>
    </row>
    <row r="64">
      <c r="A64" s="25">
        <f>IF(MAX(0,B12)&gt;JornadaMaxima,"Calculé con "&amp;JornadaMaxima&amp;" horas, la jornada máxima desde abril de 2026.","")</f>
        <v/>
      </c>
    </row>
    <row r="65">
      <c r="A65" s="25">
        <f>IF(B70&gt;48,"Revisa las horas extra: la ley permite hasta 2 por día y 12 a la semana.","")</f>
        <v/>
      </c>
    </row>
    <row r="67">
      <c r="A67" s="5" t="inlineStr">
        <is>
          <t>Detalle del cálculo</t>
        </is>
      </c>
      <c r="B67" s="6" t="n"/>
      <c r="C67" s="6" t="n"/>
    </row>
    <row r="68">
      <c r="A68" t="inlineStr">
        <is>
          <t>Jornada usada (horas)</t>
        </is>
      </c>
      <c r="B68">
        <f>MIN(JornadaMaxima,MAX(1,IF(MAX(0,B12)=0,JornadaMaxima,MAX(0,B12))))</f>
        <v/>
      </c>
      <c r="C68" s="3" t="inlineStr">
        <is>
          <t>Vacía o mayor que la máxima: la máxima.</t>
        </is>
      </c>
    </row>
    <row r="69">
      <c r="A69" t="inlineStr">
        <is>
          <t>Sueldo base usado</t>
        </is>
      </c>
      <c r="B69" s="12">
        <f>ROUND(MAX(0,B5),0)</f>
        <v/>
      </c>
    </row>
    <row r="70">
      <c r="A70" t="inlineStr">
        <is>
          <t>Horas extra usadas</t>
        </is>
      </c>
      <c r="B70">
        <f>MAX(0,B11)</f>
        <v/>
      </c>
    </row>
    <row r="71">
      <c r="A71" t="inlineStr">
        <is>
          <t>Base de AFP, salud, aporte del empleador y accidentes</t>
        </is>
      </c>
      <c r="B71" s="12">
        <f>MIN(B28,TopeImponible)</f>
        <v/>
      </c>
      <c r="C71" s="26">
        <f>TopeImponible</f>
        <v/>
      </c>
    </row>
    <row r="72">
      <c r="A72" t="inlineStr">
        <is>
          <t>Base del seguro de cesantía</t>
        </is>
      </c>
      <c r="B72" s="12">
        <f>MIN(B28,TopeCesantia)</f>
        <v/>
      </c>
      <c r="C72" s="26">
        <f>TopeCesantia</f>
        <v/>
      </c>
    </row>
    <row r="73">
      <c r="A73" t="inlineStr">
        <is>
          <t>Tasa de la AFP</t>
        </is>
      </c>
      <c r="B73" s="27">
        <f>CotizacionAFP+IFERROR(VLOOKUP(B7,TablaAFP,2,FALSE),INDEX(ComisionesAFP,1))</f>
        <v/>
      </c>
      <c r="C73" s="3" t="inlineStr">
        <is>
          <t>Cotización obligatoria más la comisión.</t>
        </is>
      </c>
    </row>
    <row r="74">
      <c r="A74" t="inlineStr">
        <is>
          <t>Plan de Isapre en pesos</t>
        </is>
      </c>
      <c r="B74" s="12">
        <f>IF(B8="Isapre",ROUND(MAX(0,B9)*ValorUF,0),0)</f>
        <v/>
      </c>
    </row>
    <row r="75">
      <c r="A75" t="inlineStr">
        <is>
          <t>Salud que se rebaja del impuesto</t>
        </is>
      </c>
      <c r="B75" s="12">
        <f>MIN(B42,ROUND(TopeImponible*TasaSalud,0))</f>
        <v/>
      </c>
      <c r="C75" s="3" t="inlineStr">
        <is>
          <t>Hasta la cotización legal sobre el tope.</t>
        </is>
      </c>
    </row>
    <row r="76">
      <c r="A76" t="inlineStr">
        <is>
          <t>Tramo del impuesto</t>
        </is>
      </c>
      <c r="B76" s="28">
        <f>SUMPRODUCT((TramosHasta&lt;B44)*1)+1</f>
        <v/>
      </c>
      <c r="C76" s="3" t="inlineStr">
        <is>
          <t>Fila de la tabla en «Indicadores».</t>
        </is>
      </c>
    </row>
    <row r="77">
      <c r="A77" t="inlineStr">
        <is>
          <t>Factor del tramo</t>
        </is>
      </c>
      <c r="B77" s="29">
        <f>INDEX(TramosFactor,B76)</f>
        <v/>
      </c>
    </row>
    <row r="78">
      <c r="A78" t="inlineStr">
        <is>
          <t>Cargas usadas</t>
        </is>
      </c>
      <c r="B78" s="28">
        <f>MIN(20,ROUND(MAX(0,B19),0))</f>
        <v/>
      </c>
    </row>
    <row r="79">
      <c r="A79" t="inlineStr">
        <is>
          <t>Asignación por carga</t>
        </is>
      </c>
      <c r="B79" s="12">
        <f>INDEX(AFMonto,SUMPRODUCT((AFHasta&lt;B28)*1)+1)</f>
        <v/>
      </c>
      <c r="C79" s="3" t="inlineStr">
        <is>
          <t>Según el total imponible.</t>
        </is>
      </c>
    </row>
    <row r="80">
      <c r="A80" t="inlineStr">
        <is>
          <t>Seguro de cesantía: tasa del trabajador</t>
        </is>
      </c>
      <c r="B80" s="29">
        <f>IFERROR(VLOOKUP(B6,TablaCesantia,2,FALSE),INDEX(CesantiaTrabajador,1))</f>
        <v/>
      </c>
    </row>
    <row r="81">
      <c r="A81" t="inlineStr">
        <is>
          <t>Seguro de cesantía: tasa del empleador</t>
        </is>
      </c>
      <c r="B81" s="29">
        <f>IFERROR(VLOOKUP(B6,TablaCesantia,3,FALSE),INDEX(CesantiaEmpleador,1))</f>
        <v/>
      </c>
    </row>
    <row r="82">
      <c r="A82" t="inlineStr">
        <is>
          <t>Tasa de accidentes</t>
        </is>
      </c>
      <c r="B82" s="27">
        <f>AccidentesBasica+MIN(0.1,MAX(0,B20))</f>
        <v/>
      </c>
      <c r="C82" s="3" t="inlineStr">
        <is>
          <t>Básica más la adicional de tu mutual.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A65:C65"/>
    <mergeCell ref="A63:C63"/>
    <mergeCell ref="A2:C2"/>
    <mergeCell ref="A64:C64"/>
  </mergeCells>
  <dataValidations count="16">
    <dataValidation sqref="B6" showDropDown="0" showInputMessage="0" showErrorMessage="1" allowBlank="1" errorTitle="Contrato" error="Elige una opción de la lista." type="list">
      <formula1>"Indefinido,Plazo fijo u obra,Indefinido (11 años o más)"</formula1>
    </dataValidation>
    <dataValidation sqref="B7" showDropDown="0" showInputMessage="0" showErrorMessage="1" allowBlank="1" errorTitle="AFP" error="Elige una opción de la lista." type="list">
      <formula1>"Uno,Modelo,PlanVital,Habitat,Capital,Cuprum,ProVida"</formula1>
    </dataValidation>
    <dataValidation sqref="B8" showDropDown="0" showInputMessage="0" showErrorMessage="1" allowBlank="1" errorTitle="Salud" error="Elige una opción de la lista." type="list">
      <formula1>"Fonasa,Isapre"</formula1>
    </dataValidation>
    <dataValidation sqref="B10" showDropDown="0" showInputMessage="0" showErrorMessage="1" allowBlank="1" errorTitle="Gratificación legal" error="Elige una opción de la lista." type="list">
      <formula1>"Sí,No"</formula1>
    </dataValidation>
    <dataValidation sqref="B5" showDropDown="0" showInputMessage="0" showErrorMessage="1" allowBlank="1" error="Escribe un número mayor o igual que cero." type="decimal" operator="greaterThanOrEqual">
      <formula1>0</formula1>
    </dataValidation>
    <dataValidation sqref="B9" showDropDown="0" showInputMessage="0" showErrorMessage="1" allowBlank="1" error="Escribe un número mayor o igual que cero." type="decimal" operator="greaterThanOrEqual">
      <formula1>0</formula1>
    </dataValidation>
    <dataValidation sqref="B11" showDropDown="0" showInputMessage="0" showErrorMessage="1" allowBlank="1" error="Escribe un número mayor o igual que cero." type="decimal" operator="greaterThanOrEqual">
      <formula1>0</formula1>
    </dataValidation>
    <dataValidation sqref="B13" showDropDown="0" showInputMessage="0" showErrorMessage="1" allowBlank="1" error="Escribe un número mayor o igual que cero." type="decimal" operator="greaterThanOrEqual">
      <formula1>0</formula1>
    </dataValidation>
    <dataValidation sqref="B14" showDropDown="0" showInputMessage="0" showErrorMessage="1" allowBlank="1" error="Escribe un número mayor o igual que cero." type="decimal" operator="greaterThanOrEqual">
      <formula1>0</formula1>
    </dataValidation>
    <dataValidation sqref="B15" showDropDown="0" showInputMessage="0" showErrorMessage="1" allowBlank="1" error="Escribe un número mayor o igual que cero." type="decimal" operator="greaterThanOrEqual">
      <formula1>0</formula1>
    </dataValidation>
    <dataValidation sqref="B16" showDropDown="0" showInputMessage="0" showErrorMessage="1" allowBlank="1" error="Escribe un número mayor o igual que cero." type="decimal" operator="greaterThanOrEqual">
      <formula1>0</formula1>
    </dataValidation>
    <dataValidation sqref="B17" showDropDown="0" showInputMessage="0" showErrorMessage="1" allowBlank="1" error="Escribe un número mayor o igual que cero." type="decimal" operator="greaterThanOrEqual">
      <formula1>0</formula1>
    </dataValidation>
    <dataValidation sqref="B18" showDropDown="0" showInputMessage="0" showErrorMessage="1" allowBlank="1" error="Escribe un número mayor o igual que cero." type="decimal" operator="greaterThanOrEqual">
      <formula1>0</formula1>
    </dataValidation>
    <dataValidation sqref="B12" showDropDown="0" showInputMessage="0" showErrorMessage="1" allowBlank="1" error="Escribe las horas a la semana (la completa es la de «Indicadores»)." type="decimal" operator="between">
      <formula1>1</formula1>
      <formula2>168</formula2>
    </dataValidation>
    <dataValidation sqref="B19" showDropDown="0" showInputMessage="0" showErrorMessage="1" allowBlank="1" error="Escribe un número entero de cargas, de 0 a 20." type="whole" operator="between">
      <formula1>0</formula1>
      <formula2>20</formula2>
    </dataValidation>
    <dataValidation sqref="B20" showDropDown="0" showInputMessage="0" showErrorMessage="1" allowBlank="1" error="Escribe una tasa entre 0% y 10%." type="decimal" operator="between">
      <formula1>0</formula1>
      <formula2>0.1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J37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2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outlineLevel="1" width="13" customWidth="1" min="17" max="36"/>
  </cols>
  <sheetData>
    <row r="1">
      <c r="A1" s="1" t="inlineStr">
        <is>
          <t>Equipo: sueldos y costo empresa del mes</t>
        </is>
      </c>
    </row>
    <row r="2" ht="30" customHeight="1">
      <c r="A2" s="2" t="inlineStr">
        <is>
          <t>Una fila por trabajador, hasta 30. Las tres primeras son datos de ejemplo: cámbialas o bórralas. Una fila sin sueldo base no se calcula.</t>
        </is>
      </c>
    </row>
    <row r="3">
      <c r="A3" t="inlineStr">
        <is>
          <t>Tasa adicional de tu mutual</t>
        </is>
      </c>
      <c r="B3" s="11" t="n">
        <v>0</v>
      </c>
      <c r="C3" s="3" t="inlineStr">
        <is>
          <t>Para todas las filas: la tasa es de la empresa.</t>
        </is>
      </c>
    </row>
    <row r="5">
      <c r="A5" s="30" t="inlineStr">
        <is>
          <t>Datos</t>
        </is>
      </c>
      <c r="M5" s="31" t="inlineStr">
        <is>
          <t>Resultado</t>
        </is>
      </c>
      <c r="Q5" s="5" t="inlineStr">
        <is>
          <t>Detalle del cálculo</t>
        </is>
      </c>
    </row>
    <row r="6" ht="32" customHeight="1">
      <c r="A6" s="32" t="inlineStr">
        <is>
          <t>Trabajador</t>
        </is>
      </c>
      <c r="B6" s="32" t="inlineStr">
        <is>
          <t>Sueldo base</t>
        </is>
      </c>
      <c r="C6" s="32" t="inlineStr">
        <is>
          <t>Contrato</t>
        </is>
      </c>
      <c r="D6" s="32" t="inlineStr">
        <is>
          <t>AFP</t>
        </is>
      </c>
      <c r="E6" s="32" t="inlineStr">
        <is>
          <t>Salud</t>
        </is>
      </c>
      <c r="F6" s="32" t="inlineStr">
        <is>
          <t>Plan de Isapre (UF)</t>
        </is>
      </c>
      <c r="G6" s="32" t="inlineStr">
        <is>
          <t>Gratificación legal</t>
        </is>
      </c>
      <c r="H6" s="32" t="inlineStr">
        <is>
          <t>Horas extra</t>
        </is>
      </c>
      <c r="I6" s="32" t="inlineStr">
        <is>
          <t>Jornada (horas)</t>
        </is>
      </c>
      <c r="J6" s="32" t="inlineStr">
        <is>
          <t>Bonos imponibles</t>
        </is>
      </c>
      <c r="K6" s="32" t="inlineStr">
        <is>
          <t>Colación</t>
        </is>
      </c>
      <c r="L6" s="32" t="inlineStr">
        <is>
          <t>Movilización</t>
        </is>
      </c>
      <c r="M6" s="32" t="inlineStr">
        <is>
          <t>Total imponible</t>
        </is>
      </c>
      <c r="N6" s="32" t="inlineStr">
        <is>
          <t>Total descuentos</t>
        </is>
      </c>
      <c r="O6" s="32" t="inlineStr">
        <is>
          <t>Sueldo líquido</t>
        </is>
      </c>
      <c r="P6" s="32" t="inlineStr">
        <is>
          <t>Costo empresa</t>
        </is>
      </c>
      <c r="Q6" s="32" t="inlineStr">
        <is>
          <t>Jornada usada</t>
        </is>
      </c>
      <c r="R6" s="32" t="inlineStr">
        <is>
          <t>Mínimo de la jornada</t>
        </is>
      </c>
      <c r="S6" s="32" t="inlineStr">
        <is>
          <t>Sueldo base usado</t>
        </is>
      </c>
      <c r="T6" s="32" t="inlineStr">
        <is>
          <t>Valor hora extra</t>
        </is>
      </c>
      <c r="U6" s="32" t="inlineStr">
        <is>
          <t>Horas extra</t>
        </is>
      </c>
      <c r="V6" s="32" t="inlineStr">
        <is>
          <t>Bonos</t>
        </is>
      </c>
      <c r="W6" s="32" t="inlineStr">
        <is>
          <t>Gratificación</t>
        </is>
      </c>
      <c r="X6" s="32" t="inlineStr">
        <is>
          <t>Base AFP y salud</t>
        </is>
      </c>
      <c r="Y6" s="32" t="inlineStr">
        <is>
          <t>Base cesantía</t>
        </is>
      </c>
      <c r="Z6" s="32" t="inlineStr">
        <is>
          <t>AFP</t>
        </is>
      </c>
      <c r="AA6" s="32" t="inlineStr">
        <is>
          <t>Salud legal</t>
        </is>
      </c>
      <c r="AB6" s="32" t="inlineStr">
        <is>
          <t>Salud (total)</t>
        </is>
      </c>
      <c r="AC6" s="32" t="inlineStr">
        <is>
          <t>Salud que se rebaja</t>
        </is>
      </c>
      <c r="AD6" s="32" t="inlineStr">
        <is>
          <t>Seguro de cesantía</t>
        </is>
      </c>
      <c r="AE6" s="32" t="inlineStr">
        <is>
          <t>Base del impuesto</t>
        </is>
      </c>
      <c r="AF6" s="32" t="inlineStr">
        <is>
          <t>Impuesto único</t>
        </is>
      </c>
      <c r="AG6" s="32" t="inlineStr">
        <is>
          <t>Colación y movilización</t>
        </is>
      </c>
      <c r="AH6" s="32" t="inlineStr">
        <is>
          <t>Aporte del empleador</t>
        </is>
      </c>
      <c r="AI6" s="32" t="inlineStr">
        <is>
          <t>Cesantía del empleador</t>
        </is>
      </c>
      <c r="AJ6" s="32" t="inlineStr">
        <is>
          <t>Seguro de accidentes</t>
        </is>
      </c>
    </row>
    <row r="7">
      <c r="A7" s="8" t="inlineStr">
        <is>
          <t>Ejemplo 1</t>
        </is>
      </c>
      <c r="B7" s="7" t="n">
        <v>800000</v>
      </c>
      <c r="C7" s="8" t="inlineStr">
        <is>
          <t>Indefinido</t>
        </is>
      </c>
      <c r="D7" s="8" t="inlineStr">
        <is>
          <t>Modelo</t>
        </is>
      </c>
      <c r="E7" s="8" t="inlineStr">
        <is>
          <t>Fonasa</t>
        </is>
      </c>
      <c r="F7" s="9" t="n">
        <v>0</v>
      </c>
      <c r="G7" s="8" t="inlineStr">
        <is>
          <t>Sí</t>
        </is>
      </c>
      <c r="H7" s="8" t="n">
        <v>5</v>
      </c>
      <c r="I7" s="8" t="n">
        <v>42</v>
      </c>
      <c r="J7" s="7" t="n">
        <v>0</v>
      </c>
      <c r="K7" s="7" t="n">
        <v>50000</v>
      </c>
      <c r="L7" s="7" t="n">
        <v>40000</v>
      </c>
      <c r="M7" s="33">
        <f>IF($B7="","",S7+U7+V7+W7)</f>
        <v/>
      </c>
      <c r="N7" s="33">
        <f>IF($B7="","",Z7+AB7+AD7+AF7)</f>
        <v/>
      </c>
      <c r="O7" s="34">
        <f>IF($B7="","",M7+AG7-N7)</f>
        <v/>
      </c>
      <c r="P7" s="34">
        <f>IF($B7="","",M7+AG7+AH7+AI7+AJ7)</f>
        <v/>
      </c>
      <c r="Q7">
        <f>IF($B7="","",MIN(JornadaMaxima,MAX(1,IF(MAX(0,I7)=0,JornadaMaxima,MAX(0,I7)))))</f>
        <v/>
      </c>
      <c r="R7" s="12">
        <f>IF($B7="","",IF(Q7&gt;=JornadaMaxima,IngresoMinimo,ROUND(IngresoMinimo*Q7/JornadaMaxima,0)))</f>
        <v/>
      </c>
      <c r="S7" s="12">
        <f>IF($B7="","",ROUND(MAX(0,B7),0))</f>
        <v/>
      </c>
      <c r="T7" s="13">
        <f>IF($B7="","",MAX(S7,R7)/30*28/(Q7*4)*(1+RecargoHE))</f>
        <v/>
      </c>
      <c r="U7" s="12">
        <f>IF($B7="","",ROUND(T7*MAX(0,H7),0))</f>
        <v/>
      </c>
      <c r="V7" s="12">
        <f>IF($B7="","",ROUND(MAX(0,J7),0))</f>
        <v/>
      </c>
      <c r="W7" s="12">
        <f>IF($B7="","",IF(G7="Sí",MIN(ROUND(GratTasa*(S7+U7+V7),0),TopeGratificacion),0))</f>
        <v/>
      </c>
      <c r="X7" s="12">
        <f>IF($B7="","",MIN(M7,TopeImponible))</f>
        <v/>
      </c>
      <c r="Y7" s="12">
        <f>IF($B7="","",MIN(M7,TopeCesantia))</f>
        <v/>
      </c>
      <c r="Z7" s="12">
        <f>IF($B7="","",ROUND(X7*(CotizacionAFP+IFERROR(VLOOKUP(D7,TablaAFP,2,FALSE),INDEX(ComisionesAFP,1))),0))</f>
        <v/>
      </c>
      <c r="AA7" s="12">
        <f>IF($B7="","",ROUND(X7*TasaSalud,0))</f>
        <v/>
      </c>
      <c r="AB7" s="12">
        <f>IF($B7="","",MAX(AA7,IF(E7="Isapre",ROUND(MAX(0,F7)*ValorUF,0),0)))</f>
        <v/>
      </c>
      <c r="AC7" s="12">
        <f>IF($B7="","",MIN(AB7,ROUND(TopeImponible*TasaSalud,0)))</f>
        <v/>
      </c>
      <c r="AD7" s="12">
        <f>IF($B7="","",ROUND(Y7*IFERROR(VLOOKUP(C7,TablaCesantia,2,FALSE),INDEX(CesantiaTrabajador,1)),0))</f>
        <v/>
      </c>
      <c r="AE7" s="12">
        <f>IF($B7="","",MAX(0,M7-Z7-AC7-AD7))</f>
        <v/>
      </c>
      <c r="AF7" s="12">
        <f>IF($B7="","",MAX(0,ROUND(AE7*INDEX(TramosFactor,SUMPRODUCT((TramosHasta&lt;AE7)*1)+1)-INDEX(TramosRebaja,SUMPRODUCT((TramosHasta&lt;AE7)*1)+1)*ValorUTM,0)))</f>
        <v/>
      </c>
      <c r="AG7" s="12">
        <f>IF($B7="","",ROUND(MAX(0,K7),0)+ROUND(MAX(0,L7),0))</f>
        <v/>
      </c>
      <c r="AH7" s="12">
        <f>IF($B7="","",ROUND(X7*SSCuenta,0)+ROUND(X7*SSRentabilidad,0)+ROUND(X7*SSInvalidez,0)+ROUND(X7*SSExpectativa,0))</f>
        <v/>
      </c>
      <c r="AI7" s="12">
        <f>IF($B7="","",ROUND(Y7*IFERROR(VLOOKUP(C7,TablaCesantia,3,FALSE),INDEX(CesantiaEmpleador,1)),0))</f>
        <v/>
      </c>
      <c r="AJ7" s="12">
        <f>IF($B7="","",ROUND(X7*(AccidentesBasica+MIN(0.1,MAX(0,$B$3))),0))</f>
        <v/>
      </c>
    </row>
    <row r="8">
      <c r="A8" s="8" t="inlineStr">
        <is>
          <t>Ejemplo 2</t>
        </is>
      </c>
      <c r="B8" s="7" t="n">
        <v>1500000</v>
      </c>
      <c r="C8" s="8" t="inlineStr">
        <is>
          <t>Plazo fijo u obra</t>
        </is>
      </c>
      <c r="D8" s="8" t="inlineStr">
        <is>
          <t>Habitat</t>
        </is>
      </c>
      <c r="E8" s="8" t="inlineStr">
        <is>
          <t>Isapre</t>
        </is>
      </c>
      <c r="F8" s="9" t="n">
        <v>4.5</v>
      </c>
      <c r="G8" s="8" t="inlineStr">
        <is>
          <t>Sí</t>
        </is>
      </c>
      <c r="H8" s="8" t="n">
        <v>0</v>
      </c>
      <c r="I8" s="8" t="n">
        <v>42</v>
      </c>
      <c r="J8" s="7" t="n">
        <v>100000</v>
      </c>
      <c r="K8" s="7" t="n">
        <v>60000</v>
      </c>
      <c r="L8" s="7" t="n">
        <v>50000</v>
      </c>
      <c r="M8" s="33">
        <f>IF($B8="","",S8+U8+V8+W8)</f>
        <v/>
      </c>
      <c r="N8" s="33">
        <f>IF($B8="","",Z8+AB8+AD8+AF8)</f>
        <v/>
      </c>
      <c r="O8" s="34">
        <f>IF($B8="","",M8+AG8-N8)</f>
        <v/>
      </c>
      <c r="P8" s="34">
        <f>IF($B8="","",M8+AG8+AH8+AI8+AJ8)</f>
        <v/>
      </c>
      <c r="Q8">
        <f>IF($B8="","",MIN(JornadaMaxima,MAX(1,IF(MAX(0,I8)=0,JornadaMaxima,MAX(0,I8)))))</f>
        <v/>
      </c>
      <c r="R8" s="12">
        <f>IF($B8="","",IF(Q8&gt;=JornadaMaxima,IngresoMinimo,ROUND(IngresoMinimo*Q8/JornadaMaxima,0)))</f>
        <v/>
      </c>
      <c r="S8" s="12">
        <f>IF($B8="","",ROUND(MAX(0,B8),0))</f>
        <v/>
      </c>
      <c r="T8" s="13">
        <f>IF($B8="","",MAX(S8,R8)/30*28/(Q8*4)*(1+RecargoHE))</f>
        <v/>
      </c>
      <c r="U8" s="12">
        <f>IF($B8="","",ROUND(T8*MAX(0,H8),0))</f>
        <v/>
      </c>
      <c r="V8" s="12">
        <f>IF($B8="","",ROUND(MAX(0,J8),0))</f>
        <v/>
      </c>
      <c r="W8" s="12">
        <f>IF($B8="","",IF(G8="Sí",MIN(ROUND(GratTasa*(S8+U8+V8),0),TopeGratificacion),0))</f>
        <v/>
      </c>
      <c r="X8" s="12">
        <f>IF($B8="","",MIN(M8,TopeImponible))</f>
        <v/>
      </c>
      <c r="Y8" s="12">
        <f>IF($B8="","",MIN(M8,TopeCesantia))</f>
        <v/>
      </c>
      <c r="Z8" s="12">
        <f>IF($B8="","",ROUND(X8*(CotizacionAFP+IFERROR(VLOOKUP(D8,TablaAFP,2,FALSE),INDEX(ComisionesAFP,1))),0))</f>
        <v/>
      </c>
      <c r="AA8" s="12">
        <f>IF($B8="","",ROUND(X8*TasaSalud,0))</f>
        <v/>
      </c>
      <c r="AB8" s="12">
        <f>IF($B8="","",MAX(AA8,IF(E8="Isapre",ROUND(MAX(0,F8)*ValorUF,0),0)))</f>
        <v/>
      </c>
      <c r="AC8" s="12">
        <f>IF($B8="","",MIN(AB8,ROUND(TopeImponible*TasaSalud,0)))</f>
        <v/>
      </c>
      <c r="AD8" s="12">
        <f>IF($B8="","",ROUND(Y8*IFERROR(VLOOKUP(C8,TablaCesantia,2,FALSE),INDEX(CesantiaTrabajador,1)),0))</f>
        <v/>
      </c>
      <c r="AE8" s="12">
        <f>IF($B8="","",MAX(0,M8-Z8-AC8-AD8))</f>
        <v/>
      </c>
      <c r="AF8" s="12">
        <f>IF($B8="","",MAX(0,ROUND(AE8*INDEX(TramosFactor,SUMPRODUCT((TramosHasta&lt;AE8)*1)+1)-INDEX(TramosRebaja,SUMPRODUCT((TramosHasta&lt;AE8)*1)+1)*ValorUTM,0)))</f>
        <v/>
      </c>
      <c r="AG8" s="12">
        <f>IF($B8="","",ROUND(MAX(0,K8),0)+ROUND(MAX(0,L8),0))</f>
        <v/>
      </c>
      <c r="AH8" s="12">
        <f>IF($B8="","",ROUND(X8*SSCuenta,0)+ROUND(X8*SSRentabilidad,0)+ROUND(X8*SSInvalidez,0)+ROUND(X8*SSExpectativa,0))</f>
        <v/>
      </c>
      <c r="AI8" s="12">
        <f>IF($B8="","",ROUND(Y8*IFERROR(VLOOKUP(C8,TablaCesantia,3,FALSE),INDEX(CesantiaEmpleador,1)),0))</f>
        <v/>
      </c>
      <c r="AJ8" s="12">
        <f>IF($B8="","",ROUND(X8*(AccidentesBasica+MIN(0.1,MAX(0,$B$3))),0))</f>
        <v/>
      </c>
    </row>
    <row r="9">
      <c r="A9" s="8" t="inlineStr">
        <is>
          <t>Ejemplo 3</t>
        </is>
      </c>
      <c r="B9" s="7" t="n">
        <v>400000</v>
      </c>
      <c r="C9" s="8" t="inlineStr">
        <is>
          <t>Indefinido</t>
        </is>
      </c>
      <c r="D9" s="8" t="inlineStr">
        <is>
          <t>Uno</t>
        </is>
      </c>
      <c r="E9" s="8" t="inlineStr">
        <is>
          <t>Fonasa</t>
        </is>
      </c>
      <c r="F9" s="9" t="n">
        <v>0</v>
      </c>
      <c r="G9" s="8" t="inlineStr">
        <is>
          <t>Sí</t>
        </is>
      </c>
      <c r="H9" s="8" t="n">
        <v>4</v>
      </c>
      <c r="I9" s="8" t="n">
        <v>30</v>
      </c>
      <c r="J9" s="7" t="n">
        <v>0</v>
      </c>
      <c r="K9" s="7" t="n">
        <v>30000</v>
      </c>
      <c r="L9" s="7" t="n">
        <v>20000</v>
      </c>
      <c r="M9" s="33">
        <f>IF($B9="","",S9+U9+V9+W9)</f>
        <v/>
      </c>
      <c r="N9" s="33">
        <f>IF($B9="","",Z9+AB9+AD9+AF9)</f>
        <v/>
      </c>
      <c r="O9" s="34">
        <f>IF($B9="","",M9+AG9-N9)</f>
        <v/>
      </c>
      <c r="P9" s="34">
        <f>IF($B9="","",M9+AG9+AH9+AI9+AJ9)</f>
        <v/>
      </c>
      <c r="Q9">
        <f>IF($B9="","",MIN(JornadaMaxima,MAX(1,IF(MAX(0,I9)=0,JornadaMaxima,MAX(0,I9)))))</f>
        <v/>
      </c>
      <c r="R9" s="12">
        <f>IF($B9="","",IF(Q9&gt;=JornadaMaxima,IngresoMinimo,ROUND(IngresoMinimo*Q9/JornadaMaxima,0)))</f>
        <v/>
      </c>
      <c r="S9" s="12">
        <f>IF($B9="","",ROUND(MAX(0,B9),0))</f>
        <v/>
      </c>
      <c r="T9" s="13">
        <f>IF($B9="","",MAX(S9,R9)/30*28/(Q9*4)*(1+RecargoHE))</f>
        <v/>
      </c>
      <c r="U9" s="12">
        <f>IF($B9="","",ROUND(T9*MAX(0,H9),0))</f>
        <v/>
      </c>
      <c r="V9" s="12">
        <f>IF($B9="","",ROUND(MAX(0,J9),0))</f>
        <v/>
      </c>
      <c r="W9" s="12">
        <f>IF($B9="","",IF(G9="Sí",MIN(ROUND(GratTasa*(S9+U9+V9),0),TopeGratificacion),0))</f>
        <v/>
      </c>
      <c r="X9" s="12">
        <f>IF($B9="","",MIN(M9,TopeImponible))</f>
        <v/>
      </c>
      <c r="Y9" s="12">
        <f>IF($B9="","",MIN(M9,TopeCesantia))</f>
        <v/>
      </c>
      <c r="Z9" s="12">
        <f>IF($B9="","",ROUND(X9*(CotizacionAFP+IFERROR(VLOOKUP(D9,TablaAFP,2,FALSE),INDEX(ComisionesAFP,1))),0))</f>
        <v/>
      </c>
      <c r="AA9" s="12">
        <f>IF($B9="","",ROUND(X9*TasaSalud,0))</f>
        <v/>
      </c>
      <c r="AB9" s="12">
        <f>IF($B9="","",MAX(AA9,IF(E9="Isapre",ROUND(MAX(0,F9)*ValorUF,0),0)))</f>
        <v/>
      </c>
      <c r="AC9" s="12">
        <f>IF($B9="","",MIN(AB9,ROUND(TopeImponible*TasaSalud,0)))</f>
        <v/>
      </c>
      <c r="AD9" s="12">
        <f>IF($B9="","",ROUND(Y9*IFERROR(VLOOKUP(C9,TablaCesantia,2,FALSE),INDEX(CesantiaTrabajador,1)),0))</f>
        <v/>
      </c>
      <c r="AE9" s="12">
        <f>IF($B9="","",MAX(0,M9-Z9-AC9-AD9))</f>
        <v/>
      </c>
      <c r="AF9" s="12">
        <f>IF($B9="","",MAX(0,ROUND(AE9*INDEX(TramosFactor,SUMPRODUCT((TramosHasta&lt;AE9)*1)+1)-INDEX(TramosRebaja,SUMPRODUCT((TramosHasta&lt;AE9)*1)+1)*ValorUTM,0)))</f>
        <v/>
      </c>
      <c r="AG9" s="12">
        <f>IF($B9="","",ROUND(MAX(0,K9),0)+ROUND(MAX(0,L9),0))</f>
        <v/>
      </c>
      <c r="AH9" s="12">
        <f>IF($B9="","",ROUND(X9*SSCuenta,0)+ROUND(X9*SSRentabilidad,0)+ROUND(X9*SSInvalidez,0)+ROUND(X9*SSExpectativa,0))</f>
        <v/>
      </c>
      <c r="AI9" s="12">
        <f>IF($B9="","",ROUND(Y9*IFERROR(VLOOKUP(C9,TablaCesantia,3,FALSE),INDEX(CesantiaEmpleador,1)),0))</f>
        <v/>
      </c>
      <c r="AJ9" s="12">
        <f>IF($B9="","",ROUND(X9*(AccidentesBasica+MIN(0.1,MAX(0,$B$3))),0))</f>
        <v/>
      </c>
    </row>
    <row r="10">
      <c r="A10" s="8" t="n"/>
      <c r="B10" s="7" t="n"/>
      <c r="C10" s="8" t="n"/>
      <c r="D10" s="8" t="n"/>
      <c r="E10" s="8" t="n"/>
      <c r="F10" s="9" t="n"/>
      <c r="G10" s="8" t="n"/>
      <c r="H10" s="8" t="n"/>
      <c r="I10" s="8" t="n"/>
      <c r="J10" s="7" t="n"/>
      <c r="K10" s="7" t="n"/>
      <c r="L10" s="7" t="n"/>
      <c r="M10" s="33">
        <f>IF($B10="","",S10+U10+V10+W10)</f>
        <v/>
      </c>
      <c r="N10" s="33">
        <f>IF($B10="","",Z10+AB10+AD10+AF10)</f>
        <v/>
      </c>
      <c r="O10" s="34">
        <f>IF($B10="","",M10+AG10-N10)</f>
        <v/>
      </c>
      <c r="P10" s="34">
        <f>IF($B10="","",M10+AG10+AH10+AI10+AJ10)</f>
        <v/>
      </c>
      <c r="Q10">
        <f>IF($B10="","",MIN(JornadaMaxima,MAX(1,IF(MAX(0,I10)=0,JornadaMaxima,MAX(0,I10)))))</f>
        <v/>
      </c>
      <c r="R10" s="12">
        <f>IF($B10="","",IF(Q10&gt;=JornadaMaxima,IngresoMinimo,ROUND(IngresoMinimo*Q10/JornadaMaxima,0)))</f>
        <v/>
      </c>
      <c r="S10" s="12">
        <f>IF($B10="","",ROUND(MAX(0,B10),0))</f>
        <v/>
      </c>
      <c r="T10" s="13">
        <f>IF($B10="","",MAX(S10,R10)/30*28/(Q10*4)*(1+RecargoHE))</f>
        <v/>
      </c>
      <c r="U10" s="12">
        <f>IF($B10="","",ROUND(T10*MAX(0,H10),0))</f>
        <v/>
      </c>
      <c r="V10" s="12">
        <f>IF($B10="","",ROUND(MAX(0,J10),0))</f>
        <v/>
      </c>
      <c r="W10" s="12">
        <f>IF($B10="","",IF(G10="Sí",MIN(ROUND(GratTasa*(S10+U10+V10),0),TopeGratificacion),0))</f>
        <v/>
      </c>
      <c r="X10" s="12">
        <f>IF($B10="","",MIN(M10,TopeImponible))</f>
        <v/>
      </c>
      <c r="Y10" s="12">
        <f>IF($B10="","",MIN(M10,TopeCesantia))</f>
        <v/>
      </c>
      <c r="Z10" s="12">
        <f>IF($B10="","",ROUND(X10*(CotizacionAFP+IFERROR(VLOOKUP(D10,TablaAFP,2,FALSE),INDEX(ComisionesAFP,1))),0))</f>
        <v/>
      </c>
      <c r="AA10" s="12">
        <f>IF($B10="","",ROUND(X10*TasaSalud,0))</f>
        <v/>
      </c>
      <c r="AB10" s="12">
        <f>IF($B10="","",MAX(AA10,IF(E10="Isapre",ROUND(MAX(0,F10)*ValorUF,0),0)))</f>
        <v/>
      </c>
      <c r="AC10" s="12">
        <f>IF($B10="","",MIN(AB10,ROUND(TopeImponible*TasaSalud,0)))</f>
        <v/>
      </c>
      <c r="AD10" s="12">
        <f>IF($B10="","",ROUND(Y10*IFERROR(VLOOKUP(C10,TablaCesantia,2,FALSE),INDEX(CesantiaTrabajador,1)),0))</f>
        <v/>
      </c>
      <c r="AE10" s="12">
        <f>IF($B10="","",MAX(0,M10-Z10-AC10-AD10))</f>
        <v/>
      </c>
      <c r="AF10" s="12">
        <f>IF($B10="","",MAX(0,ROUND(AE10*INDEX(TramosFactor,SUMPRODUCT((TramosHasta&lt;AE10)*1)+1)-INDEX(TramosRebaja,SUMPRODUCT((TramosHasta&lt;AE10)*1)+1)*ValorUTM,0)))</f>
        <v/>
      </c>
      <c r="AG10" s="12">
        <f>IF($B10="","",ROUND(MAX(0,K10),0)+ROUND(MAX(0,L10),0))</f>
        <v/>
      </c>
      <c r="AH10" s="12">
        <f>IF($B10="","",ROUND(X10*SSCuenta,0)+ROUND(X10*SSRentabilidad,0)+ROUND(X10*SSInvalidez,0)+ROUND(X10*SSExpectativa,0))</f>
        <v/>
      </c>
      <c r="AI10" s="12">
        <f>IF($B10="","",ROUND(Y10*IFERROR(VLOOKUP(C10,TablaCesantia,3,FALSE),INDEX(CesantiaEmpleador,1)),0))</f>
        <v/>
      </c>
      <c r="AJ10" s="12">
        <f>IF($B10="","",ROUND(X10*(AccidentesBasica+MIN(0.1,MAX(0,$B$3))),0))</f>
        <v/>
      </c>
    </row>
    <row r="11">
      <c r="A11" s="8" t="n"/>
      <c r="B11" s="7" t="n"/>
      <c r="C11" s="8" t="n"/>
      <c r="D11" s="8" t="n"/>
      <c r="E11" s="8" t="n"/>
      <c r="F11" s="9" t="n"/>
      <c r="G11" s="8" t="n"/>
      <c r="H11" s="8" t="n"/>
      <c r="I11" s="8" t="n"/>
      <c r="J11" s="7" t="n"/>
      <c r="K11" s="7" t="n"/>
      <c r="L11" s="7" t="n"/>
      <c r="M11" s="33">
        <f>IF($B11="","",S11+U11+V11+W11)</f>
        <v/>
      </c>
      <c r="N11" s="33">
        <f>IF($B11="","",Z11+AB11+AD11+AF11)</f>
        <v/>
      </c>
      <c r="O11" s="34">
        <f>IF($B11="","",M11+AG11-N11)</f>
        <v/>
      </c>
      <c r="P11" s="34">
        <f>IF($B11="","",M11+AG11+AH11+AI11+AJ11)</f>
        <v/>
      </c>
      <c r="Q11">
        <f>IF($B11="","",MIN(JornadaMaxima,MAX(1,IF(MAX(0,I11)=0,JornadaMaxima,MAX(0,I11)))))</f>
        <v/>
      </c>
      <c r="R11" s="12">
        <f>IF($B11="","",IF(Q11&gt;=JornadaMaxima,IngresoMinimo,ROUND(IngresoMinimo*Q11/JornadaMaxima,0)))</f>
        <v/>
      </c>
      <c r="S11" s="12">
        <f>IF($B11="","",ROUND(MAX(0,B11),0))</f>
        <v/>
      </c>
      <c r="T11" s="13">
        <f>IF($B11="","",MAX(S11,R11)/30*28/(Q11*4)*(1+RecargoHE))</f>
        <v/>
      </c>
      <c r="U11" s="12">
        <f>IF($B11="","",ROUND(T11*MAX(0,H11),0))</f>
        <v/>
      </c>
      <c r="V11" s="12">
        <f>IF($B11="","",ROUND(MAX(0,J11),0))</f>
        <v/>
      </c>
      <c r="W11" s="12">
        <f>IF($B11="","",IF(G11="Sí",MIN(ROUND(GratTasa*(S11+U11+V11),0),TopeGratificacion),0))</f>
        <v/>
      </c>
      <c r="X11" s="12">
        <f>IF($B11="","",MIN(M11,TopeImponible))</f>
        <v/>
      </c>
      <c r="Y11" s="12">
        <f>IF($B11="","",MIN(M11,TopeCesantia))</f>
        <v/>
      </c>
      <c r="Z11" s="12">
        <f>IF($B11="","",ROUND(X11*(CotizacionAFP+IFERROR(VLOOKUP(D11,TablaAFP,2,FALSE),INDEX(ComisionesAFP,1))),0))</f>
        <v/>
      </c>
      <c r="AA11" s="12">
        <f>IF($B11="","",ROUND(X11*TasaSalud,0))</f>
        <v/>
      </c>
      <c r="AB11" s="12">
        <f>IF($B11="","",MAX(AA11,IF(E11="Isapre",ROUND(MAX(0,F11)*ValorUF,0),0)))</f>
        <v/>
      </c>
      <c r="AC11" s="12">
        <f>IF($B11="","",MIN(AB11,ROUND(TopeImponible*TasaSalud,0)))</f>
        <v/>
      </c>
      <c r="AD11" s="12">
        <f>IF($B11="","",ROUND(Y11*IFERROR(VLOOKUP(C11,TablaCesantia,2,FALSE),INDEX(CesantiaTrabajador,1)),0))</f>
        <v/>
      </c>
      <c r="AE11" s="12">
        <f>IF($B11="","",MAX(0,M11-Z11-AC11-AD11))</f>
        <v/>
      </c>
      <c r="AF11" s="12">
        <f>IF($B11="","",MAX(0,ROUND(AE11*INDEX(TramosFactor,SUMPRODUCT((TramosHasta&lt;AE11)*1)+1)-INDEX(TramosRebaja,SUMPRODUCT((TramosHasta&lt;AE11)*1)+1)*ValorUTM,0)))</f>
        <v/>
      </c>
      <c r="AG11" s="12">
        <f>IF($B11="","",ROUND(MAX(0,K11),0)+ROUND(MAX(0,L11),0))</f>
        <v/>
      </c>
      <c r="AH11" s="12">
        <f>IF($B11="","",ROUND(X11*SSCuenta,0)+ROUND(X11*SSRentabilidad,0)+ROUND(X11*SSInvalidez,0)+ROUND(X11*SSExpectativa,0))</f>
        <v/>
      </c>
      <c r="AI11" s="12">
        <f>IF($B11="","",ROUND(Y11*IFERROR(VLOOKUP(C11,TablaCesantia,3,FALSE),INDEX(CesantiaEmpleador,1)),0))</f>
        <v/>
      </c>
      <c r="AJ11" s="12">
        <f>IF($B11="","",ROUND(X11*(AccidentesBasica+MIN(0.1,MAX(0,$B$3))),0))</f>
        <v/>
      </c>
    </row>
    <row r="12">
      <c r="A12" s="8" t="n"/>
      <c r="B12" s="7" t="n"/>
      <c r="C12" s="8" t="n"/>
      <c r="D12" s="8" t="n"/>
      <c r="E12" s="8" t="n"/>
      <c r="F12" s="9" t="n"/>
      <c r="G12" s="8" t="n"/>
      <c r="H12" s="8" t="n"/>
      <c r="I12" s="8" t="n"/>
      <c r="J12" s="7" t="n"/>
      <c r="K12" s="7" t="n"/>
      <c r="L12" s="7" t="n"/>
      <c r="M12" s="33">
        <f>IF($B12="","",S12+U12+V12+W12)</f>
        <v/>
      </c>
      <c r="N12" s="33">
        <f>IF($B12="","",Z12+AB12+AD12+AF12)</f>
        <v/>
      </c>
      <c r="O12" s="34">
        <f>IF($B12="","",M12+AG12-N12)</f>
        <v/>
      </c>
      <c r="P12" s="34">
        <f>IF($B12="","",M12+AG12+AH12+AI12+AJ12)</f>
        <v/>
      </c>
      <c r="Q12">
        <f>IF($B12="","",MIN(JornadaMaxima,MAX(1,IF(MAX(0,I12)=0,JornadaMaxima,MAX(0,I12)))))</f>
        <v/>
      </c>
      <c r="R12" s="12">
        <f>IF($B12="","",IF(Q12&gt;=JornadaMaxima,IngresoMinimo,ROUND(IngresoMinimo*Q12/JornadaMaxima,0)))</f>
        <v/>
      </c>
      <c r="S12" s="12">
        <f>IF($B12="","",ROUND(MAX(0,B12),0))</f>
        <v/>
      </c>
      <c r="T12" s="13">
        <f>IF($B12="","",MAX(S12,R12)/30*28/(Q12*4)*(1+RecargoHE))</f>
        <v/>
      </c>
      <c r="U12" s="12">
        <f>IF($B12="","",ROUND(T12*MAX(0,H12),0))</f>
        <v/>
      </c>
      <c r="V12" s="12">
        <f>IF($B12="","",ROUND(MAX(0,J12),0))</f>
        <v/>
      </c>
      <c r="W12" s="12">
        <f>IF($B12="","",IF(G12="Sí",MIN(ROUND(GratTasa*(S12+U12+V12),0),TopeGratificacion),0))</f>
        <v/>
      </c>
      <c r="X12" s="12">
        <f>IF($B12="","",MIN(M12,TopeImponible))</f>
        <v/>
      </c>
      <c r="Y12" s="12">
        <f>IF($B12="","",MIN(M12,TopeCesantia))</f>
        <v/>
      </c>
      <c r="Z12" s="12">
        <f>IF($B12="","",ROUND(X12*(CotizacionAFP+IFERROR(VLOOKUP(D12,TablaAFP,2,FALSE),INDEX(ComisionesAFP,1))),0))</f>
        <v/>
      </c>
      <c r="AA12" s="12">
        <f>IF($B12="","",ROUND(X12*TasaSalud,0))</f>
        <v/>
      </c>
      <c r="AB12" s="12">
        <f>IF($B12="","",MAX(AA12,IF(E12="Isapre",ROUND(MAX(0,F12)*ValorUF,0),0)))</f>
        <v/>
      </c>
      <c r="AC12" s="12">
        <f>IF($B12="","",MIN(AB12,ROUND(TopeImponible*TasaSalud,0)))</f>
        <v/>
      </c>
      <c r="AD12" s="12">
        <f>IF($B12="","",ROUND(Y12*IFERROR(VLOOKUP(C12,TablaCesantia,2,FALSE),INDEX(CesantiaTrabajador,1)),0))</f>
        <v/>
      </c>
      <c r="AE12" s="12">
        <f>IF($B12="","",MAX(0,M12-Z12-AC12-AD12))</f>
        <v/>
      </c>
      <c r="AF12" s="12">
        <f>IF($B12="","",MAX(0,ROUND(AE12*INDEX(TramosFactor,SUMPRODUCT((TramosHasta&lt;AE12)*1)+1)-INDEX(TramosRebaja,SUMPRODUCT((TramosHasta&lt;AE12)*1)+1)*ValorUTM,0)))</f>
        <v/>
      </c>
      <c r="AG12" s="12">
        <f>IF($B12="","",ROUND(MAX(0,K12),0)+ROUND(MAX(0,L12),0))</f>
        <v/>
      </c>
      <c r="AH12" s="12">
        <f>IF($B12="","",ROUND(X12*SSCuenta,0)+ROUND(X12*SSRentabilidad,0)+ROUND(X12*SSInvalidez,0)+ROUND(X12*SSExpectativa,0))</f>
        <v/>
      </c>
      <c r="AI12" s="12">
        <f>IF($B12="","",ROUND(Y12*IFERROR(VLOOKUP(C12,TablaCesantia,3,FALSE),INDEX(CesantiaEmpleador,1)),0))</f>
        <v/>
      </c>
      <c r="AJ12" s="12">
        <f>IF($B12="","",ROUND(X12*(AccidentesBasica+MIN(0.1,MAX(0,$B$3))),0))</f>
        <v/>
      </c>
    </row>
    <row r="13">
      <c r="A13" s="8" t="n"/>
      <c r="B13" s="7" t="n"/>
      <c r="C13" s="8" t="n"/>
      <c r="D13" s="8" t="n"/>
      <c r="E13" s="8" t="n"/>
      <c r="F13" s="9" t="n"/>
      <c r="G13" s="8" t="n"/>
      <c r="H13" s="8" t="n"/>
      <c r="I13" s="8" t="n"/>
      <c r="J13" s="7" t="n"/>
      <c r="K13" s="7" t="n"/>
      <c r="L13" s="7" t="n"/>
      <c r="M13" s="33">
        <f>IF($B13="","",S13+U13+V13+W13)</f>
        <v/>
      </c>
      <c r="N13" s="33">
        <f>IF($B13="","",Z13+AB13+AD13+AF13)</f>
        <v/>
      </c>
      <c r="O13" s="34">
        <f>IF($B13="","",M13+AG13-N13)</f>
        <v/>
      </c>
      <c r="P13" s="34">
        <f>IF($B13="","",M13+AG13+AH13+AI13+AJ13)</f>
        <v/>
      </c>
      <c r="Q13">
        <f>IF($B13="","",MIN(JornadaMaxima,MAX(1,IF(MAX(0,I13)=0,JornadaMaxima,MAX(0,I13)))))</f>
        <v/>
      </c>
      <c r="R13" s="12">
        <f>IF($B13="","",IF(Q13&gt;=JornadaMaxima,IngresoMinimo,ROUND(IngresoMinimo*Q13/JornadaMaxima,0)))</f>
        <v/>
      </c>
      <c r="S13" s="12">
        <f>IF($B13="","",ROUND(MAX(0,B13),0))</f>
        <v/>
      </c>
      <c r="T13" s="13">
        <f>IF($B13="","",MAX(S13,R13)/30*28/(Q13*4)*(1+RecargoHE))</f>
        <v/>
      </c>
      <c r="U13" s="12">
        <f>IF($B13="","",ROUND(T13*MAX(0,H13),0))</f>
        <v/>
      </c>
      <c r="V13" s="12">
        <f>IF($B13="","",ROUND(MAX(0,J13),0))</f>
        <v/>
      </c>
      <c r="W13" s="12">
        <f>IF($B13="","",IF(G13="Sí",MIN(ROUND(GratTasa*(S13+U13+V13),0),TopeGratificacion),0))</f>
        <v/>
      </c>
      <c r="X13" s="12">
        <f>IF($B13="","",MIN(M13,TopeImponible))</f>
        <v/>
      </c>
      <c r="Y13" s="12">
        <f>IF($B13="","",MIN(M13,TopeCesantia))</f>
        <v/>
      </c>
      <c r="Z13" s="12">
        <f>IF($B13="","",ROUND(X13*(CotizacionAFP+IFERROR(VLOOKUP(D13,TablaAFP,2,FALSE),INDEX(ComisionesAFP,1))),0))</f>
        <v/>
      </c>
      <c r="AA13" s="12">
        <f>IF($B13="","",ROUND(X13*TasaSalud,0))</f>
        <v/>
      </c>
      <c r="AB13" s="12">
        <f>IF($B13="","",MAX(AA13,IF(E13="Isapre",ROUND(MAX(0,F13)*ValorUF,0),0)))</f>
        <v/>
      </c>
      <c r="AC13" s="12">
        <f>IF($B13="","",MIN(AB13,ROUND(TopeImponible*TasaSalud,0)))</f>
        <v/>
      </c>
      <c r="AD13" s="12">
        <f>IF($B13="","",ROUND(Y13*IFERROR(VLOOKUP(C13,TablaCesantia,2,FALSE),INDEX(CesantiaTrabajador,1)),0))</f>
        <v/>
      </c>
      <c r="AE13" s="12">
        <f>IF($B13="","",MAX(0,M13-Z13-AC13-AD13))</f>
        <v/>
      </c>
      <c r="AF13" s="12">
        <f>IF($B13="","",MAX(0,ROUND(AE13*INDEX(TramosFactor,SUMPRODUCT((TramosHasta&lt;AE13)*1)+1)-INDEX(TramosRebaja,SUMPRODUCT((TramosHasta&lt;AE13)*1)+1)*ValorUTM,0)))</f>
        <v/>
      </c>
      <c r="AG13" s="12">
        <f>IF($B13="","",ROUND(MAX(0,K13),0)+ROUND(MAX(0,L13),0))</f>
        <v/>
      </c>
      <c r="AH13" s="12">
        <f>IF($B13="","",ROUND(X13*SSCuenta,0)+ROUND(X13*SSRentabilidad,0)+ROUND(X13*SSInvalidez,0)+ROUND(X13*SSExpectativa,0))</f>
        <v/>
      </c>
      <c r="AI13" s="12">
        <f>IF($B13="","",ROUND(Y13*IFERROR(VLOOKUP(C13,TablaCesantia,3,FALSE),INDEX(CesantiaEmpleador,1)),0))</f>
        <v/>
      </c>
      <c r="AJ13" s="12">
        <f>IF($B13="","",ROUND(X13*(AccidentesBasica+MIN(0.1,MAX(0,$B$3))),0))</f>
        <v/>
      </c>
    </row>
    <row r="14">
      <c r="A14" s="8" t="n"/>
      <c r="B14" s="7" t="n"/>
      <c r="C14" s="8" t="n"/>
      <c r="D14" s="8" t="n"/>
      <c r="E14" s="8" t="n"/>
      <c r="F14" s="9" t="n"/>
      <c r="G14" s="8" t="n"/>
      <c r="H14" s="8" t="n"/>
      <c r="I14" s="8" t="n"/>
      <c r="J14" s="7" t="n"/>
      <c r="K14" s="7" t="n"/>
      <c r="L14" s="7" t="n"/>
      <c r="M14" s="33">
        <f>IF($B14="","",S14+U14+V14+W14)</f>
        <v/>
      </c>
      <c r="N14" s="33">
        <f>IF($B14="","",Z14+AB14+AD14+AF14)</f>
        <v/>
      </c>
      <c r="O14" s="34">
        <f>IF($B14="","",M14+AG14-N14)</f>
        <v/>
      </c>
      <c r="P14" s="34">
        <f>IF($B14="","",M14+AG14+AH14+AI14+AJ14)</f>
        <v/>
      </c>
      <c r="Q14">
        <f>IF($B14="","",MIN(JornadaMaxima,MAX(1,IF(MAX(0,I14)=0,JornadaMaxima,MAX(0,I14)))))</f>
        <v/>
      </c>
      <c r="R14" s="12">
        <f>IF($B14="","",IF(Q14&gt;=JornadaMaxima,IngresoMinimo,ROUND(IngresoMinimo*Q14/JornadaMaxima,0)))</f>
        <v/>
      </c>
      <c r="S14" s="12">
        <f>IF($B14="","",ROUND(MAX(0,B14),0))</f>
        <v/>
      </c>
      <c r="T14" s="13">
        <f>IF($B14="","",MAX(S14,R14)/30*28/(Q14*4)*(1+RecargoHE))</f>
        <v/>
      </c>
      <c r="U14" s="12">
        <f>IF($B14="","",ROUND(T14*MAX(0,H14),0))</f>
        <v/>
      </c>
      <c r="V14" s="12">
        <f>IF($B14="","",ROUND(MAX(0,J14),0))</f>
        <v/>
      </c>
      <c r="W14" s="12">
        <f>IF($B14="","",IF(G14="Sí",MIN(ROUND(GratTasa*(S14+U14+V14),0),TopeGratificacion),0))</f>
        <v/>
      </c>
      <c r="X14" s="12">
        <f>IF($B14="","",MIN(M14,TopeImponible))</f>
        <v/>
      </c>
      <c r="Y14" s="12">
        <f>IF($B14="","",MIN(M14,TopeCesantia))</f>
        <v/>
      </c>
      <c r="Z14" s="12">
        <f>IF($B14="","",ROUND(X14*(CotizacionAFP+IFERROR(VLOOKUP(D14,TablaAFP,2,FALSE),INDEX(ComisionesAFP,1))),0))</f>
        <v/>
      </c>
      <c r="AA14" s="12">
        <f>IF($B14="","",ROUND(X14*TasaSalud,0))</f>
        <v/>
      </c>
      <c r="AB14" s="12">
        <f>IF($B14="","",MAX(AA14,IF(E14="Isapre",ROUND(MAX(0,F14)*ValorUF,0),0)))</f>
        <v/>
      </c>
      <c r="AC14" s="12">
        <f>IF($B14="","",MIN(AB14,ROUND(TopeImponible*TasaSalud,0)))</f>
        <v/>
      </c>
      <c r="AD14" s="12">
        <f>IF($B14="","",ROUND(Y14*IFERROR(VLOOKUP(C14,TablaCesantia,2,FALSE),INDEX(CesantiaTrabajador,1)),0))</f>
        <v/>
      </c>
      <c r="AE14" s="12">
        <f>IF($B14="","",MAX(0,M14-Z14-AC14-AD14))</f>
        <v/>
      </c>
      <c r="AF14" s="12">
        <f>IF($B14="","",MAX(0,ROUND(AE14*INDEX(TramosFactor,SUMPRODUCT((TramosHasta&lt;AE14)*1)+1)-INDEX(TramosRebaja,SUMPRODUCT((TramosHasta&lt;AE14)*1)+1)*ValorUTM,0)))</f>
        <v/>
      </c>
      <c r="AG14" s="12">
        <f>IF($B14="","",ROUND(MAX(0,K14),0)+ROUND(MAX(0,L14),0))</f>
        <v/>
      </c>
      <c r="AH14" s="12">
        <f>IF($B14="","",ROUND(X14*SSCuenta,0)+ROUND(X14*SSRentabilidad,0)+ROUND(X14*SSInvalidez,0)+ROUND(X14*SSExpectativa,0))</f>
        <v/>
      </c>
      <c r="AI14" s="12">
        <f>IF($B14="","",ROUND(Y14*IFERROR(VLOOKUP(C14,TablaCesantia,3,FALSE),INDEX(CesantiaEmpleador,1)),0))</f>
        <v/>
      </c>
      <c r="AJ14" s="12">
        <f>IF($B14="","",ROUND(X14*(AccidentesBasica+MIN(0.1,MAX(0,$B$3))),0))</f>
        <v/>
      </c>
    </row>
    <row r="15">
      <c r="A15" s="8" t="n"/>
      <c r="B15" s="7" t="n"/>
      <c r="C15" s="8" t="n"/>
      <c r="D15" s="8" t="n"/>
      <c r="E15" s="8" t="n"/>
      <c r="F15" s="9" t="n"/>
      <c r="G15" s="8" t="n"/>
      <c r="H15" s="8" t="n"/>
      <c r="I15" s="8" t="n"/>
      <c r="J15" s="7" t="n"/>
      <c r="K15" s="7" t="n"/>
      <c r="L15" s="7" t="n"/>
      <c r="M15" s="33">
        <f>IF($B15="","",S15+U15+V15+W15)</f>
        <v/>
      </c>
      <c r="N15" s="33">
        <f>IF($B15="","",Z15+AB15+AD15+AF15)</f>
        <v/>
      </c>
      <c r="O15" s="34">
        <f>IF($B15="","",M15+AG15-N15)</f>
        <v/>
      </c>
      <c r="P15" s="34">
        <f>IF($B15="","",M15+AG15+AH15+AI15+AJ15)</f>
        <v/>
      </c>
      <c r="Q15">
        <f>IF($B15="","",MIN(JornadaMaxima,MAX(1,IF(MAX(0,I15)=0,JornadaMaxima,MAX(0,I15)))))</f>
        <v/>
      </c>
      <c r="R15" s="12">
        <f>IF($B15="","",IF(Q15&gt;=JornadaMaxima,IngresoMinimo,ROUND(IngresoMinimo*Q15/JornadaMaxima,0)))</f>
        <v/>
      </c>
      <c r="S15" s="12">
        <f>IF($B15="","",ROUND(MAX(0,B15),0))</f>
        <v/>
      </c>
      <c r="T15" s="13">
        <f>IF($B15="","",MAX(S15,R15)/30*28/(Q15*4)*(1+RecargoHE))</f>
        <v/>
      </c>
      <c r="U15" s="12">
        <f>IF($B15="","",ROUND(T15*MAX(0,H15),0))</f>
        <v/>
      </c>
      <c r="V15" s="12">
        <f>IF($B15="","",ROUND(MAX(0,J15),0))</f>
        <v/>
      </c>
      <c r="W15" s="12">
        <f>IF($B15="","",IF(G15="Sí",MIN(ROUND(GratTasa*(S15+U15+V15),0),TopeGratificacion),0))</f>
        <v/>
      </c>
      <c r="X15" s="12">
        <f>IF($B15="","",MIN(M15,TopeImponible))</f>
        <v/>
      </c>
      <c r="Y15" s="12">
        <f>IF($B15="","",MIN(M15,TopeCesantia))</f>
        <v/>
      </c>
      <c r="Z15" s="12">
        <f>IF($B15="","",ROUND(X15*(CotizacionAFP+IFERROR(VLOOKUP(D15,TablaAFP,2,FALSE),INDEX(ComisionesAFP,1))),0))</f>
        <v/>
      </c>
      <c r="AA15" s="12">
        <f>IF($B15="","",ROUND(X15*TasaSalud,0))</f>
        <v/>
      </c>
      <c r="AB15" s="12">
        <f>IF($B15="","",MAX(AA15,IF(E15="Isapre",ROUND(MAX(0,F15)*ValorUF,0),0)))</f>
        <v/>
      </c>
      <c r="AC15" s="12">
        <f>IF($B15="","",MIN(AB15,ROUND(TopeImponible*TasaSalud,0)))</f>
        <v/>
      </c>
      <c r="AD15" s="12">
        <f>IF($B15="","",ROUND(Y15*IFERROR(VLOOKUP(C15,TablaCesantia,2,FALSE),INDEX(CesantiaTrabajador,1)),0))</f>
        <v/>
      </c>
      <c r="AE15" s="12">
        <f>IF($B15="","",MAX(0,M15-Z15-AC15-AD15))</f>
        <v/>
      </c>
      <c r="AF15" s="12">
        <f>IF($B15="","",MAX(0,ROUND(AE15*INDEX(TramosFactor,SUMPRODUCT((TramosHasta&lt;AE15)*1)+1)-INDEX(TramosRebaja,SUMPRODUCT((TramosHasta&lt;AE15)*1)+1)*ValorUTM,0)))</f>
        <v/>
      </c>
      <c r="AG15" s="12">
        <f>IF($B15="","",ROUND(MAX(0,K15),0)+ROUND(MAX(0,L15),0))</f>
        <v/>
      </c>
      <c r="AH15" s="12">
        <f>IF($B15="","",ROUND(X15*SSCuenta,0)+ROUND(X15*SSRentabilidad,0)+ROUND(X15*SSInvalidez,0)+ROUND(X15*SSExpectativa,0))</f>
        <v/>
      </c>
      <c r="AI15" s="12">
        <f>IF($B15="","",ROUND(Y15*IFERROR(VLOOKUP(C15,TablaCesantia,3,FALSE),INDEX(CesantiaEmpleador,1)),0))</f>
        <v/>
      </c>
      <c r="AJ15" s="12">
        <f>IF($B15="","",ROUND(X15*(AccidentesBasica+MIN(0.1,MAX(0,$B$3))),0))</f>
        <v/>
      </c>
    </row>
    <row r="16">
      <c r="A16" s="8" t="n"/>
      <c r="B16" s="7" t="n"/>
      <c r="C16" s="8" t="n"/>
      <c r="D16" s="8" t="n"/>
      <c r="E16" s="8" t="n"/>
      <c r="F16" s="9" t="n"/>
      <c r="G16" s="8" t="n"/>
      <c r="H16" s="8" t="n"/>
      <c r="I16" s="8" t="n"/>
      <c r="J16" s="7" t="n"/>
      <c r="K16" s="7" t="n"/>
      <c r="L16" s="7" t="n"/>
      <c r="M16" s="33">
        <f>IF($B16="","",S16+U16+V16+W16)</f>
        <v/>
      </c>
      <c r="N16" s="33">
        <f>IF($B16="","",Z16+AB16+AD16+AF16)</f>
        <v/>
      </c>
      <c r="O16" s="34">
        <f>IF($B16="","",M16+AG16-N16)</f>
        <v/>
      </c>
      <c r="P16" s="34">
        <f>IF($B16="","",M16+AG16+AH16+AI16+AJ16)</f>
        <v/>
      </c>
      <c r="Q16">
        <f>IF($B16="","",MIN(JornadaMaxima,MAX(1,IF(MAX(0,I16)=0,JornadaMaxima,MAX(0,I16)))))</f>
        <v/>
      </c>
      <c r="R16" s="12">
        <f>IF($B16="","",IF(Q16&gt;=JornadaMaxima,IngresoMinimo,ROUND(IngresoMinimo*Q16/JornadaMaxima,0)))</f>
        <v/>
      </c>
      <c r="S16" s="12">
        <f>IF($B16="","",ROUND(MAX(0,B16),0))</f>
        <v/>
      </c>
      <c r="T16" s="13">
        <f>IF($B16="","",MAX(S16,R16)/30*28/(Q16*4)*(1+RecargoHE))</f>
        <v/>
      </c>
      <c r="U16" s="12">
        <f>IF($B16="","",ROUND(T16*MAX(0,H16),0))</f>
        <v/>
      </c>
      <c r="V16" s="12">
        <f>IF($B16="","",ROUND(MAX(0,J16),0))</f>
        <v/>
      </c>
      <c r="W16" s="12">
        <f>IF($B16="","",IF(G16="Sí",MIN(ROUND(GratTasa*(S16+U16+V16),0),TopeGratificacion),0))</f>
        <v/>
      </c>
      <c r="X16" s="12">
        <f>IF($B16="","",MIN(M16,TopeImponible))</f>
        <v/>
      </c>
      <c r="Y16" s="12">
        <f>IF($B16="","",MIN(M16,TopeCesantia))</f>
        <v/>
      </c>
      <c r="Z16" s="12">
        <f>IF($B16="","",ROUND(X16*(CotizacionAFP+IFERROR(VLOOKUP(D16,TablaAFP,2,FALSE),INDEX(ComisionesAFP,1))),0))</f>
        <v/>
      </c>
      <c r="AA16" s="12">
        <f>IF($B16="","",ROUND(X16*TasaSalud,0))</f>
        <v/>
      </c>
      <c r="AB16" s="12">
        <f>IF($B16="","",MAX(AA16,IF(E16="Isapre",ROUND(MAX(0,F16)*ValorUF,0),0)))</f>
        <v/>
      </c>
      <c r="AC16" s="12">
        <f>IF($B16="","",MIN(AB16,ROUND(TopeImponible*TasaSalud,0)))</f>
        <v/>
      </c>
      <c r="AD16" s="12">
        <f>IF($B16="","",ROUND(Y16*IFERROR(VLOOKUP(C16,TablaCesantia,2,FALSE),INDEX(CesantiaTrabajador,1)),0))</f>
        <v/>
      </c>
      <c r="AE16" s="12">
        <f>IF($B16="","",MAX(0,M16-Z16-AC16-AD16))</f>
        <v/>
      </c>
      <c r="AF16" s="12">
        <f>IF($B16="","",MAX(0,ROUND(AE16*INDEX(TramosFactor,SUMPRODUCT((TramosHasta&lt;AE16)*1)+1)-INDEX(TramosRebaja,SUMPRODUCT((TramosHasta&lt;AE16)*1)+1)*ValorUTM,0)))</f>
        <v/>
      </c>
      <c r="AG16" s="12">
        <f>IF($B16="","",ROUND(MAX(0,K16),0)+ROUND(MAX(0,L16),0))</f>
        <v/>
      </c>
      <c r="AH16" s="12">
        <f>IF($B16="","",ROUND(X16*SSCuenta,0)+ROUND(X16*SSRentabilidad,0)+ROUND(X16*SSInvalidez,0)+ROUND(X16*SSExpectativa,0))</f>
        <v/>
      </c>
      <c r="AI16" s="12">
        <f>IF($B16="","",ROUND(Y16*IFERROR(VLOOKUP(C16,TablaCesantia,3,FALSE),INDEX(CesantiaEmpleador,1)),0))</f>
        <v/>
      </c>
      <c r="AJ16" s="12">
        <f>IF($B16="","",ROUND(X16*(AccidentesBasica+MIN(0.1,MAX(0,$B$3))),0))</f>
        <v/>
      </c>
    </row>
    <row r="17">
      <c r="A17" s="8" t="n"/>
      <c r="B17" s="7" t="n"/>
      <c r="C17" s="8" t="n"/>
      <c r="D17" s="8" t="n"/>
      <c r="E17" s="8" t="n"/>
      <c r="F17" s="9" t="n"/>
      <c r="G17" s="8" t="n"/>
      <c r="H17" s="8" t="n"/>
      <c r="I17" s="8" t="n"/>
      <c r="J17" s="7" t="n"/>
      <c r="K17" s="7" t="n"/>
      <c r="L17" s="7" t="n"/>
      <c r="M17" s="33">
        <f>IF($B17="","",S17+U17+V17+W17)</f>
        <v/>
      </c>
      <c r="N17" s="33">
        <f>IF($B17="","",Z17+AB17+AD17+AF17)</f>
        <v/>
      </c>
      <c r="O17" s="34">
        <f>IF($B17="","",M17+AG17-N17)</f>
        <v/>
      </c>
      <c r="P17" s="34">
        <f>IF($B17="","",M17+AG17+AH17+AI17+AJ17)</f>
        <v/>
      </c>
      <c r="Q17">
        <f>IF($B17="","",MIN(JornadaMaxima,MAX(1,IF(MAX(0,I17)=0,JornadaMaxima,MAX(0,I17)))))</f>
        <v/>
      </c>
      <c r="R17" s="12">
        <f>IF($B17="","",IF(Q17&gt;=JornadaMaxima,IngresoMinimo,ROUND(IngresoMinimo*Q17/JornadaMaxima,0)))</f>
        <v/>
      </c>
      <c r="S17" s="12">
        <f>IF($B17="","",ROUND(MAX(0,B17),0))</f>
        <v/>
      </c>
      <c r="T17" s="13">
        <f>IF($B17="","",MAX(S17,R17)/30*28/(Q17*4)*(1+RecargoHE))</f>
        <v/>
      </c>
      <c r="U17" s="12">
        <f>IF($B17="","",ROUND(T17*MAX(0,H17),0))</f>
        <v/>
      </c>
      <c r="V17" s="12">
        <f>IF($B17="","",ROUND(MAX(0,J17),0))</f>
        <v/>
      </c>
      <c r="W17" s="12">
        <f>IF($B17="","",IF(G17="Sí",MIN(ROUND(GratTasa*(S17+U17+V17),0),TopeGratificacion),0))</f>
        <v/>
      </c>
      <c r="X17" s="12">
        <f>IF($B17="","",MIN(M17,TopeImponible))</f>
        <v/>
      </c>
      <c r="Y17" s="12">
        <f>IF($B17="","",MIN(M17,TopeCesantia))</f>
        <v/>
      </c>
      <c r="Z17" s="12">
        <f>IF($B17="","",ROUND(X17*(CotizacionAFP+IFERROR(VLOOKUP(D17,TablaAFP,2,FALSE),INDEX(ComisionesAFP,1))),0))</f>
        <v/>
      </c>
      <c r="AA17" s="12">
        <f>IF($B17="","",ROUND(X17*TasaSalud,0))</f>
        <v/>
      </c>
      <c r="AB17" s="12">
        <f>IF($B17="","",MAX(AA17,IF(E17="Isapre",ROUND(MAX(0,F17)*ValorUF,0),0)))</f>
        <v/>
      </c>
      <c r="AC17" s="12">
        <f>IF($B17="","",MIN(AB17,ROUND(TopeImponible*TasaSalud,0)))</f>
        <v/>
      </c>
      <c r="AD17" s="12">
        <f>IF($B17="","",ROUND(Y17*IFERROR(VLOOKUP(C17,TablaCesantia,2,FALSE),INDEX(CesantiaTrabajador,1)),0))</f>
        <v/>
      </c>
      <c r="AE17" s="12">
        <f>IF($B17="","",MAX(0,M17-Z17-AC17-AD17))</f>
        <v/>
      </c>
      <c r="AF17" s="12">
        <f>IF($B17="","",MAX(0,ROUND(AE17*INDEX(TramosFactor,SUMPRODUCT((TramosHasta&lt;AE17)*1)+1)-INDEX(TramosRebaja,SUMPRODUCT((TramosHasta&lt;AE17)*1)+1)*ValorUTM,0)))</f>
        <v/>
      </c>
      <c r="AG17" s="12">
        <f>IF($B17="","",ROUND(MAX(0,K17),0)+ROUND(MAX(0,L17),0))</f>
        <v/>
      </c>
      <c r="AH17" s="12">
        <f>IF($B17="","",ROUND(X17*SSCuenta,0)+ROUND(X17*SSRentabilidad,0)+ROUND(X17*SSInvalidez,0)+ROUND(X17*SSExpectativa,0))</f>
        <v/>
      </c>
      <c r="AI17" s="12">
        <f>IF($B17="","",ROUND(Y17*IFERROR(VLOOKUP(C17,TablaCesantia,3,FALSE),INDEX(CesantiaEmpleador,1)),0))</f>
        <v/>
      </c>
      <c r="AJ17" s="12">
        <f>IF($B17="","",ROUND(X17*(AccidentesBasica+MIN(0.1,MAX(0,$B$3))),0))</f>
        <v/>
      </c>
    </row>
    <row r="18">
      <c r="A18" s="8" t="n"/>
      <c r="B18" s="7" t="n"/>
      <c r="C18" s="8" t="n"/>
      <c r="D18" s="8" t="n"/>
      <c r="E18" s="8" t="n"/>
      <c r="F18" s="9" t="n"/>
      <c r="G18" s="8" t="n"/>
      <c r="H18" s="8" t="n"/>
      <c r="I18" s="8" t="n"/>
      <c r="J18" s="7" t="n"/>
      <c r="K18" s="7" t="n"/>
      <c r="L18" s="7" t="n"/>
      <c r="M18" s="33">
        <f>IF($B18="","",S18+U18+V18+W18)</f>
        <v/>
      </c>
      <c r="N18" s="33">
        <f>IF($B18="","",Z18+AB18+AD18+AF18)</f>
        <v/>
      </c>
      <c r="O18" s="34">
        <f>IF($B18="","",M18+AG18-N18)</f>
        <v/>
      </c>
      <c r="P18" s="34">
        <f>IF($B18="","",M18+AG18+AH18+AI18+AJ18)</f>
        <v/>
      </c>
      <c r="Q18">
        <f>IF($B18="","",MIN(JornadaMaxima,MAX(1,IF(MAX(0,I18)=0,JornadaMaxima,MAX(0,I18)))))</f>
        <v/>
      </c>
      <c r="R18" s="12">
        <f>IF($B18="","",IF(Q18&gt;=JornadaMaxima,IngresoMinimo,ROUND(IngresoMinimo*Q18/JornadaMaxima,0)))</f>
        <v/>
      </c>
      <c r="S18" s="12">
        <f>IF($B18="","",ROUND(MAX(0,B18),0))</f>
        <v/>
      </c>
      <c r="T18" s="13">
        <f>IF($B18="","",MAX(S18,R18)/30*28/(Q18*4)*(1+RecargoHE))</f>
        <v/>
      </c>
      <c r="U18" s="12">
        <f>IF($B18="","",ROUND(T18*MAX(0,H18),0))</f>
        <v/>
      </c>
      <c r="V18" s="12">
        <f>IF($B18="","",ROUND(MAX(0,J18),0))</f>
        <v/>
      </c>
      <c r="W18" s="12">
        <f>IF($B18="","",IF(G18="Sí",MIN(ROUND(GratTasa*(S18+U18+V18),0),TopeGratificacion),0))</f>
        <v/>
      </c>
      <c r="X18" s="12">
        <f>IF($B18="","",MIN(M18,TopeImponible))</f>
        <v/>
      </c>
      <c r="Y18" s="12">
        <f>IF($B18="","",MIN(M18,TopeCesantia))</f>
        <v/>
      </c>
      <c r="Z18" s="12">
        <f>IF($B18="","",ROUND(X18*(CotizacionAFP+IFERROR(VLOOKUP(D18,TablaAFP,2,FALSE),INDEX(ComisionesAFP,1))),0))</f>
        <v/>
      </c>
      <c r="AA18" s="12">
        <f>IF($B18="","",ROUND(X18*TasaSalud,0))</f>
        <v/>
      </c>
      <c r="AB18" s="12">
        <f>IF($B18="","",MAX(AA18,IF(E18="Isapre",ROUND(MAX(0,F18)*ValorUF,0),0)))</f>
        <v/>
      </c>
      <c r="AC18" s="12">
        <f>IF($B18="","",MIN(AB18,ROUND(TopeImponible*TasaSalud,0)))</f>
        <v/>
      </c>
      <c r="AD18" s="12">
        <f>IF($B18="","",ROUND(Y18*IFERROR(VLOOKUP(C18,TablaCesantia,2,FALSE),INDEX(CesantiaTrabajador,1)),0))</f>
        <v/>
      </c>
      <c r="AE18" s="12">
        <f>IF($B18="","",MAX(0,M18-Z18-AC18-AD18))</f>
        <v/>
      </c>
      <c r="AF18" s="12">
        <f>IF($B18="","",MAX(0,ROUND(AE18*INDEX(TramosFactor,SUMPRODUCT((TramosHasta&lt;AE18)*1)+1)-INDEX(TramosRebaja,SUMPRODUCT((TramosHasta&lt;AE18)*1)+1)*ValorUTM,0)))</f>
        <v/>
      </c>
      <c r="AG18" s="12">
        <f>IF($B18="","",ROUND(MAX(0,K18),0)+ROUND(MAX(0,L18),0))</f>
        <v/>
      </c>
      <c r="AH18" s="12">
        <f>IF($B18="","",ROUND(X18*SSCuenta,0)+ROUND(X18*SSRentabilidad,0)+ROUND(X18*SSInvalidez,0)+ROUND(X18*SSExpectativa,0))</f>
        <v/>
      </c>
      <c r="AI18" s="12">
        <f>IF($B18="","",ROUND(Y18*IFERROR(VLOOKUP(C18,TablaCesantia,3,FALSE),INDEX(CesantiaEmpleador,1)),0))</f>
        <v/>
      </c>
      <c r="AJ18" s="12">
        <f>IF($B18="","",ROUND(X18*(AccidentesBasica+MIN(0.1,MAX(0,$B$3))),0))</f>
        <v/>
      </c>
    </row>
    <row r="19">
      <c r="A19" s="8" t="n"/>
      <c r="B19" s="7" t="n"/>
      <c r="C19" s="8" t="n"/>
      <c r="D19" s="8" t="n"/>
      <c r="E19" s="8" t="n"/>
      <c r="F19" s="9" t="n"/>
      <c r="G19" s="8" t="n"/>
      <c r="H19" s="8" t="n"/>
      <c r="I19" s="8" t="n"/>
      <c r="J19" s="7" t="n"/>
      <c r="K19" s="7" t="n"/>
      <c r="L19" s="7" t="n"/>
      <c r="M19" s="33">
        <f>IF($B19="","",S19+U19+V19+W19)</f>
        <v/>
      </c>
      <c r="N19" s="33">
        <f>IF($B19="","",Z19+AB19+AD19+AF19)</f>
        <v/>
      </c>
      <c r="O19" s="34">
        <f>IF($B19="","",M19+AG19-N19)</f>
        <v/>
      </c>
      <c r="P19" s="34">
        <f>IF($B19="","",M19+AG19+AH19+AI19+AJ19)</f>
        <v/>
      </c>
      <c r="Q19">
        <f>IF($B19="","",MIN(JornadaMaxima,MAX(1,IF(MAX(0,I19)=0,JornadaMaxima,MAX(0,I19)))))</f>
        <v/>
      </c>
      <c r="R19" s="12">
        <f>IF($B19="","",IF(Q19&gt;=JornadaMaxima,IngresoMinimo,ROUND(IngresoMinimo*Q19/JornadaMaxima,0)))</f>
        <v/>
      </c>
      <c r="S19" s="12">
        <f>IF($B19="","",ROUND(MAX(0,B19),0))</f>
        <v/>
      </c>
      <c r="T19" s="13">
        <f>IF($B19="","",MAX(S19,R19)/30*28/(Q19*4)*(1+RecargoHE))</f>
        <v/>
      </c>
      <c r="U19" s="12">
        <f>IF($B19="","",ROUND(T19*MAX(0,H19),0))</f>
        <v/>
      </c>
      <c r="V19" s="12">
        <f>IF($B19="","",ROUND(MAX(0,J19),0))</f>
        <v/>
      </c>
      <c r="W19" s="12">
        <f>IF($B19="","",IF(G19="Sí",MIN(ROUND(GratTasa*(S19+U19+V19),0),TopeGratificacion),0))</f>
        <v/>
      </c>
      <c r="X19" s="12">
        <f>IF($B19="","",MIN(M19,TopeImponible))</f>
        <v/>
      </c>
      <c r="Y19" s="12">
        <f>IF($B19="","",MIN(M19,TopeCesantia))</f>
        <v/>
      </c>
      <c r="Z19" s="12">
        <f>IF($B19="","",ROUND(X19*(CotizacionAFP+IFERROR(VLOOKUP(D19,TablaAFP,2,FALSE),INDEX(ComisionesAFP,1))),0))</f>
        <v/>
      </c>
      <c r="AA19" s="12">
        <f>IF($B19="","",ROUND(X19*TasaSalud,0))</f>
        <v/>
      </c>
      <c r="AB19" s="12">
        <f>IF($B19="","",MAX(AA19,IF(E19="Isapre",ROUND(MAX(0,F19)*ValorUF,0),0)))</f>
        <v/>
      </c>
      <c r="AC19" s="12">
        <f>IF($B19="","",MIN(AB19,ROUND(TopeImponible*TasaSalud,0)))</f>
        <v/>
      </c>
      <c r="AD19" s="12">
        <f>IF($B19="","",ROUND(Y19*IFERROR(VLOOKUP(C19,TablaCesantia,2,FALSE),INDEX(CesantiaTrabajador,1)),0))</f>
        <v/>
      </c>
      <c r="AE19" s="12">
        <f>IF($B19="","",MAX(0,M19-Z19-AC19-AD19))</f>
        <v/>
      </c>
      <c r="AF19" s="12">
        <f>IF($B19="","",MAX(0,ROUND(AE19*INDEX(TramosFactor,SUMPRODUCT((TramosHasta&lt;AE19)*1)+1)-INDEX(TramosRebaja,SUMPRODUCT((TramosHasta&lt;AE19)*1)+1)*ValorUTM,0)))</f>
        <v/>
      </c>
      <c r="AG19" s="12">
        <f>IF($B19="","",ROUND(MAX(0,K19),0)+ROUND(MAX(0,L19),0))</f>
        <v/>
      </c>
      <c r="AH19" s="12">
        <f>IF($B19="","",ROUND(X19*SSCuenta,0)+ROUND(X19*SSRentabilidad,0)+ROUND(X19*SSInvalidez,0)+ROUND(X19*SSExpectativa,0))</f>
        <v/>
      </c>
      <c r="AI19" s="12">
        <f>IF($B19="","",ROUND(Y19*IFERROR(VLOOKUP(C19,TablaCesantia,3,FALSE),INDEX(CesantiaEmpleador,1)),0))</f>
        <v/>
      </c>
      <c r="AJ19" s="12">
        <f>IF($B19="","",ROUND(X19*(AccidentesBasica+MIN(0.1,MAX(0,$B$3))),0))</f>
        <v/>
      </c>
    </row>
    <row r="20">
      <c r="A20" s="8" t="n"/>
      <c r="B20" s="7" t="n"/>
      <c r="C20" s="8" t="n"/>
      <c r="D20" s="8" t="n"/>
      <c r="E20" s="8" t="n"/>
      <c r="F20" s="9" t="n"/>
      <c r="G20" s="8" t="n"/>
      <c r="H20" s="8" t="n"/>
      <c r="I20" s="8" t="n"/>
      <c r="J20" s="7" t="n"/>
      <c r="K20" s="7" t="n"/>
      <c r="L20" s="7" t="n"/>
      <c r="M20" s="33">
        <f>IF($B20="","",S20+U20+V20+W20)</f>
        <v/>
      </c>
      <c r="N20" s="33">
        <f>IF($B20="","",Z20+AB20+AD20+AF20)</f>
        <v/>
      </c>
      <c r="O20" s="34">
        <f>IF($B20="","",M20+AG20-N20)</f>
        <v/>
      </c>
      <c r="P20" s="34">
        <f>IF($B20="","",M20+AG20+AH20+AI20+AJ20)</f>
        <v/>
      </c>
      <c r="Q20">
        <f>IF($B20="","",MIN(JornadaMaxima,MAX(1,IF(MAX(0,I20)=0,JornadaMaxima,MAX(0,I20)))))</f>
        <v/>
      </c>
      <c r="R20" s="12">
        <f>IF($B20="","",IF(Q20&gt;=JornadaMaxima,IngresoMinimo,ROUND(IngresoMinimo*Q20/JornadaMaxima,0)))</f>
        <v/>
      </c>
      <c r="S20" s="12">
        <f>IF($B20="","",ROUND(MAX(0,B20),0))</f>
        <v/>
      </c>
      <c r="T20" s="13">
        <f>IF($B20="","",MAX(S20,R20)/30*28/(Q20*4)*(1+RecargoHE))</f>
        <v/>
      </c>
      <c r="U20" s="12">
        <f>IF($B20="","",ROUND(T20*MAX(0,H20),0))</f>
        <v/>
      </c>
      <c r="V20" s="12">
        <f>IF($B20="","",ROUND(MAX(0,J20),0))</f>
        <v/>
      </c>
      <c r="W20" s="12">
        <f>IF($B20="","",IF(G20="Sí",MIN(ROUND(GratTasa*(S20+U20+V20),0),TopeGratificacion),0))</f>
        <v/>
      </c>
      <c r="X20" s="12">
        <f>IF($B20="","",MIN(M20,TopeImponible))</f>
        <v/>
      </c>
      <c r="Y20" s="12">
        <f>IF($B20="","",MIN(M20,TopeCesantia))</f>
        <v/>
      </c>
      <c r="Z20" s="12">
        <f>IF($B20="","",ROUND(X20*(CotizacionAFP+IFERROR(VLOOKUP(D20,TablaAFP,2,FALSE),INDEX(ComisionesAFP,1))),0))</f>
        <v/>
      </c>
      <c r="AA20" s="12">
        <f>IF($B20="","",ROUND(X20*TasaSalud,0))</f>
        <v/>
      </c>
      <c r="AB20" s="12">
        <f>IF($B20="","",MAX(AA20,IF(E20="Isapre",ROUND(MAX(0,F20)*ValorUF,0),0)))</f>
        <v/>
      </c>
      <c r="AC20" s="12">
        <f>IF($B20="","",MIN(AB20,ROUND(TopeImponible*TasaSalud,0)))</f>
        <v/>
      </c>
      <c r="AD20" s="12">
        <f>IF($B20="","",ROUND(Y20*IFERROR(VLOOKUP(C20,TablaCesantia,2,FALSE),INDEX(CesantiaTrabajador,1)),0))</f>
        <v/>
      </c>
      <c r="AE20" s="12">
        <f>IF($B20="","",MAX(0,M20-Z20-AC20-AD20))</f>
        <v/>
      </c>
      <c r="AF20" s="12">
        <f>IF($B20="","",MAX(0,ROUND(AE20*INDEX(TramosFactor,SUMPRODUCT((TramosHasta&lt;AE20)*1)+1)-INDEX(TramosRebaja,SUMPRODUCT((TramosHasta&lt;AE20)*1)+1)*ValorUTM,0)))</f>
        <v/>
      </c>
      <c r="AG20" s="12">
        <f>IF($B20="","",ROUND(MAX(0,K20),0)+ROUND(MAX(0,L20),0))</f>
        <v/>
      </c>
      <c r="AH20" s="12">
        <f>IF($B20="","",ROUND(X20*SSCuenta,0)+ROUND(X20*SSRentabilidad,0)+ROUND(X20*SSInvalidez,0)+ROUND(X20*SSExpectativa,0))</f>
        <v/>
      </c>
      <c r="AI20" s="12">
        <f>IF($B20="","",ROUND(Y20*IFERROR(VLOOKUP(C20,TablaCesantia,3,FALSE),INDEX(CesantiaEmpleador,1)),0))</f>
        <v/>
      </c>
      <c r="AJ20" s="12">
        <f>IF($B20="","",ROUND(X20*(AccidentesBasica+MIN(0.1,MAX(0,$B$3))),0))</f>
        <v/>
      </c>
    </row>
    <row r="21">
      <c r="A21" s="8" t="n"/>
      <c r="B21" s="7" t="n"/>
      <c r="C21" s="8" t="n"/>
      <c r="D21" s="8" t="n"/>
      <c r="E21" s="8" t="n"/>
      <c r="F21" s="9" t="n"/>
      <c r="G21" s="8" t="n"/>
      <c r="H21" s="8" t="n"/>
      <c r="I21" s="8" t="n"/>
      <c r="J21" s="7" t="n"/>
      <c r="K21" s="7" t="n"/>
      <c r="L21" s="7" t="n"/>
      <c r="M21" s="33">
        <f>IF($B21="","",S21+U21+V21+W21)</f>
        <v/>
      </c>
      <c r="N21" s="33">
        <f>IF($B21="","",Z21+AB21+AD21+AF21)</f>
        <v/>
      </c>
      <c r="O21" s="34">
        <f>IF($B21="","",M21+AG21-N21)</f>
        <v/>
      </c>
      <c r="P21" s="34">
        <f>IF($B21="","",M21+AG21+AH21+AI21+AJ21)</f>
        <v/>
      </c>
      <c r="Q21">
        <f>IF($B21="","",MIN(JornadaMaxima,MAX(1,IF(MAX(0,I21)=0,JornadaMaxima,MAX(0,I21)))))</f>
        <v/>
      </c>
      <c r="R21" s="12">
        <f>IF($B21="","",IF(Q21&gt;=JornadaMaxima,IngresoMinimo,ROUND(IngresoMinimo*Q21/JornadaMaxima,0)))</f>
        <v/>
      </c>
      <c r="S21" s="12">
        <f>IF($B21="","",ROUND(MAX(0,B21),0))</f>
        <v/>
      </c>
      <c r="T21" s="13">
        <f>IF($B21="","",MAX(S21,R21)/30*28/(Q21*4)*(1+RecargoHE))</f>
        <v/>
      </c>
      <c r="U21" s="12">
        <f>IF($B21="","",ROUND(T21*MAX(0,H21),0))</f>
        <v/>
      </c>
      <c r="V21" s="12">
        <f>IF($B21="","",ROUND(MAX(0,J21),0))</f>
        <v/>
      </c>
      <c r="W21" s="12">
        <f>IF($B21="","",IF(G21="Sí",MIN(ROUND(GratTasa*(S21+U21+V21),0),TopeGratificacion),0))</f>
        <v/>
      </c>
      <c r="X21" s="12">
        <f>IF($B21="","",MIN(M21,TopeImponible))</f>
        <v/>
      </c>
      <c r="Y21" s="12">
        <f>IF($B21="","",MIN(M21,TopeCesantia))</f>
        <v/>
      </c>
      <c r="Z21" s="12">
        <f>IF($B21="","",ROUND(X21*(CotizacionAFP+IFERROR(VLOOKUP(D21,TablaAFP,2,FALSE),INDEX(ComisionesAFP,1))),0))</f>
        <v/>
      </c>
      <c r="AA21" s="12">
        <f>IF($B21="","",ROUND(X21*TasaSalud,0))</f>
        <v/>
      </c>
      <c r="AB21" s="12">
        <f>IF($B21="","",MAX(AA21,IF(E21="Isapre",ROUND(MAX(0,F21)*ValorUF,0),0)))</f>
        <v/>
      </c>
      <c r="AC21" s="12">
        <f>IF($B21="","",MIN(AB21,ROUND(TopeImponible*TasaSalud,0)))</f>
        <v/>
      </c>
      <c r="AD21" s="12">
        <f>IF($B21="","",ROUND(Y21*IFERROR(VLOOKUP(C21,TablaCesantia,2,FALSE),INDEX(CesantiaTrabajador,1)),0))</f>
        <v/>
      </c>
      <c r="AE21" s="12">
        <f>IF($B21="","",MAX(0,M21-Z21-AC21-AD21))</f>
        <v/>
      </c>
      <c r="AF21" s="12">
        <f>IF($B21="","",MAX(0,ROUND(AE21*INDEX(TramosFactor,SUMPRODUCT((TramosHasta&lt;AE21)*1)+1)-INDEX(TramosRebaja,SUMPRODUCT((TramosHasta&lt;AE21)*1)+1)*ValorUTM,0)))</f>
        <v/>
      </c>
      <c r="AG21" s="12">
        <f>IF($B21="","",ROUND(MAX(0,K21),0)+ROUND(MAX(0,L21),0))</f>
        <v/>
      </c>
      <c r="AH21" s="12">
        <f>IF($B21="","",ROUND(X21*SSCuenta,0)+ROUND(X21*SSRentabilidad,0)+ROUND(X21*SSInvalidez,0)+ROUND(X21*SSExpectativa,0))</f>
        <v/>
      </c>
      <c r="AI21" s="12">
        <f>IF($B21="","",ROUND(Y21*IFERROR(VLOOKUP(C21,TablaCesantia,3,FALSE),INDEX(CesantiaEmpleador,1)),0))</f>
        <v/>
      </c>
      <c r="AJ21" s="12">
        <f>IF($B21="","",ROUND(X21*(AccidentesBasica+MIN(0.1,MAX(0,$B$3))),0))</f>
        <v/>
      </c>
    </row>
    <row r="22">
      <c r="A22" s="8" t="n"/>
      <c r="B22" s="7" t="n"/>
      <c r="C22" s="8" t="n"/>
      <c r="D22" s="8" t="n"/>
      <c r="E22" s="8" t="n"/>
      <c r="F22" s="9" t="n"/>
      <c r="G22" s="8" t="n"/>
      <c r="H22" s="8" t="n"/>
      <c r="I22" s="8" t="n"/>
      <c r="J22" s="7" t="n"/>
      <c r="K22" s="7" t="n"/>
      <c r="L22" s="7" t="n"/>
      <c r="M22" s="33">
        <f>IF($B22="","",S22+U22+V22+W22)</f>
        <v/>
      </c>
      <c r="N22" s="33">
        <f>IF($B22="","",Z22+AB22+AD22+AF22)</f>
        <v/>
      </c>
      <c r="O22" s="34">
        <f>IF($B22="","",M22+AG22-N22)</f>
        <v/>
      </c>
      <c r="P22" s="34">
        <f>IF($B22="","",M22+AG22+AH22+AI22+AJ22)</f>
        <v/>
      </c>
      <c r="Q22">
        <f>IF($B22="","",MIN(JornadaMaxima,MAX(1,IF(MAX(0,I22)=0,JornadaMaxima,MAX(0,I22)))))</f>
        <v/>
      </c>
      <c r="R22" s="12">
        <f>IF($B22="","",IF(Q22&gt;=JornadaMaxima,IngresoMinimo,ROUND(IngresoMinimo*Q22/JornadaMaxima,0)))</f>
        <v/>
      </c>
      <c r="S22" s="12">
        <f>IF($B22="","",ROUND(MAX(0,B22),0))</f>
        <v/>
      </c>
      <c r="T22" s="13">
        <f>IF($B22="","",MAX(S22,R22)/30*28/(Q22*4)*(1+RecargoHE))</f>
        <v/>
      </c>
      <c r="U22" s="12">
        <f>IF($B22="","",ROUND(T22*MAX(0,H22),0))</f>
        <v/>
      </c>
      <c r="V22" s="12">
        <f>IF($B22="","",ROUND(MAX(0,J22),0))</f>
        <v/>
      </c>
      <c r="W22" s="12">
        <f>IF($B22="","",IF(G22="Sí",MIN(ROUND(GratTasa*(S22+U22+V22),0),TopeGratificacion),0))</f>
        <v/>
      </c>
      <c r="X22" s="12">
        <f>IF($B22="","",MIN(M22,TopeImponible))</f>
        <v/>
      </c>
      <c r="Y22" s="12">
        <f>IF($B22="","",MIN(M22,TopeCesantia))</f>
        <v/>
      </c>
      <c r="Z22" s="12">
        <f>IF($B22="","",ROUND(X22*(CotizacionAFP+IFERROR(VLOOKUP(D22,TablaAFP,2,FALSE),INDEX(ComisionesAFP,1))),0))</f>
        <v/>
      </c>
      <c r="AA22" s="12">
        <f>IF($B22="","",ROUND(X22*TasaSalud,0))</f>
        <v/>
      </c>
      <c r="AB22" s="12">
        <f>IF($B22="","",MAX(AA22,IF(E22="Isapre",ROUND(MAX(0,F22)*ValorUF,0),0)))</f>
        <v/>
      </c>
      <c r="AC22" s="12">
        <f>IF($B22="","",MIN(AB22,ROUND(TopeImponible*TasaSalud,0)))</f>
        <v/>
      </c>
      <c r="AD22" s="12">
        <f>IF($B22="","",ROUND(Y22*IFERROR(VLOOKUP(C22,TablaCesantia,2,FALSE),INDEX(CesantiaTrabajador,1)),0))</f>
        <v/>
      </c>
      <c r="AE22" s="12">
        <f>IF($B22="","",MAX(0,M22-Z22-AC22-AD22))</f>
        <v/>
      </c>
      <c r="AF22" s="12">
        <f>IF($B22="","",MAX(0,ROUND(AE22*INDEX(TramosFactor,SUMPRODUCT((TramosHasta&lt;AE22)*1)+1)-INDEX(TramosRebaja,SUMPRODUCT((TramosHasta&lt;AE22)*1)+1)*ValorUTM,0)))</f>
        <v/>
      </c>
      <c r="AG22" s="12">
        <f>IF($B22="","",ROUND(MAX(0,K22),0)+ROUND(MAX(0,L22),0))</f>
        <v/>
      </c>
      <c r="AH22" s="12">
        <f>IF($B22="","",ROUND(X22*SSCuenta,0)+ROUND(X22*SSRentabilidad,0)+ROUND(X22*SSInvalidez,0)+ROUND(X22*SSExpectativa,0))</f>
        <v/>
      </c>
      <c r="AI22" s="12">
        <f>IF($B22="","",ROUND(Y22*IFERROR(VLOOKUP(C22,TablaCesantia,3,FALSE),INDEX(CesantiaEmpleador,1)),0))</f>
        <v/>
      </c>
      <c r="AJ22" s="12">
        <f>IF($B22="","",ROUND(X22*(AccidentesBasica+MIN(0.1,MAX(0,$B$3))),0))</f>
        <v/>
      </c>
    </row>
    <row r="23">
      <c r="A23" s="8" t="n"/>
      <c r="B23" s="7" t="n"/>
      <c r="C23" s="8" t="n"/>
      <c r="D23" s="8" t="n"/>
      <c r="E23" s="8" t="n"/>
      <c r="F23" s="9" t="n"/>
      <c r="G23" s="8" t="n"/>
      <c r="H23" s="8" t="n"/>
      <c r="I23" s="8" t="n"/>
      <c r="J23" s="7" t="n"/>
      <c r="K23" s="7" t="n"/>
      <c r="L23" s="7" t="n"/>
      <c r="M23" s="33">
        <f>IF($B23="","",S23+U23+V23+W23)</f>
        <v/>
      </c>
      <c r="N23" s="33">
        <f>IF($B23="","",Z23+AB23+AD23+AF23)</f>
        <v/>
      </c>
      <c r="O23" s="34">
        <f>IF($B23="","",M23+AG23-N23)</f>
        <v/>
      </c>
      <c r="P23" s="34">
        <f>IF($B23="","",M23+AG23+AH23+AI23+AJ23)</f>
        <v/>
      </c>
      <c r="Q23">
        <f>IF($B23="","",MIN(JornadaMaxima,MAX(1,IF(MAX(0,I23)=0,JornadaMaxima,MAX(0,I23)))))</f>
        <v/>
      </c>
      <c r="R23" s="12">
        <f>IF($B23="","",IF(Q23&gt;=JornadaMaxima,IngresoMinimo,ROUND(IngresoMinimo*Q23/JornadaMaxima,0)))</f>
        <v/>
      </c>
      <c r="S23" s="12">
        <f>IF($B23="","",ROUND(MAX(0,B23),0))</f>
        <v/>
      </c>
      <c r="T23" s="13">
        <f>IF($B23="","",MAX(S23,R23)/30*28/(Q23*4)*(1+RecargoHE))</f>
        <v/>
      </c>
      <c r="U23" s="12">
        <f>IF($B23="","",ROUND(T23*MAX(0,H23),0))</f>
        <v/>
      </c>
      <c r="V23" s="12">
        <f>IF($B23="","",ROUND(MAX(0,J23),0))</f>
        <v/>
      </c>
      <c r="W23" s="12">
        <f>IF($B23="","",IF(G23="Sí",MIN(ROUND(GratTasa*(S23+U23+V23),0),TopeGratificacion),0))</f>
        <v/>
      </c>
      <c r="X23" s="12">
        <f>IF($B23="","",MIN(M23,TopeImponible))</f>
        <v/>
      </c>
      <c r="Y23" s="12">
        <f>IF($B23="","",MIN(M23,TopeCesantia))</f>
        <v/>
      </c>
      <c r="Z23" s="12">
        <f>IF($B23="","",ROUND(X23*(CotizacionAFP+IFERROR(VLOOKUP(D23,TablaAFP,2,FALSE),INDEX(ComisionesAFP,1))),0))</f>
        <v/>
      </c>
      <c r="AA23" s="12">
        <f>IF($B23="","",ROUND(X23*TasaSalud,0))</f>
        <v/>
      </c>
      <c r="AB23" s="12">
        <f>IF($B23="","",MAX(AA23,IF(E23="Isapre",ROUND(MAX(0,F23)*ValorUF,0),0)))</f>
        <v/>
      </c>
      <c r="AC23" s="12">
        <f>IF($B23="","",MIN(AB23,ROUND(TopeImponible*TasaSalud,0)))</f>
        <v/>
      </c>
      <c r="AD23" s="12">
        <f>IF($B23="","",ROUND(Y23*IFERROR(VLOOKUP(C23,TablaCesantia,2,FALSE),INDEX(CesantiaTrabajador,1)),0))</f>
        <v/>
      </c>
      <c r="AE23" s="12">
        <f>IF($B23="","",MAX(0,M23-Z23-AC23-AD23))</f>
        <v/>
      </c>
      <c r="AF23" s="12">
        <f>IF($B23="","",MAX(0,ROUND(AE23*INDEX(TramosFactor,SUMPRODUCT((TramosHasta&lt;AE23)*1)+1)-INDEX(TramosRebaja,SUMPRODUCT((TramosHasta&lt;AE23)*1)+1)*ValorUTM,0)))</f>
        <v/>
      </c>
      <c r="AG23" s="12">
        <f>IF($B23="","",ROUND(MAX(0,K23),0)+ROUND(MAX(0,L23),0))</f>
        <v/>
      </c>
      <c r="AH23" s="12">
        <f>IF($B23="","",ROUND(X23*SSCuenta,0)+ROUND(X23*SSRentabilidad,0)+ROUND(X23*SSInvalidez,0)+ROUND(X23*SSExpectativa,0))</f>
        <v/>
      </c>
      <c r="AI23" s="12">
        <f>IF($B23="","",ROUND(Y23*IFERROR(VLOOKUP(C23,TablaCesantia,3,FALSE),INDEX(CesantiaEmpleador,1)),0))</f>
        <v/>
      </c>
      <c r="AJ23" s="12">
        <f>IF($B23="","",ROUND(X23*(AccidentesBasica+MIN(0.1,MAX(0,$B$3))),0))</f>
        <v/>
      </c>
    </row>
    <row r="24">
      <c r="A24" s="8" t="n"/>
      <c r="B24" s="7" t="n"/>
      <c r="C24" s="8" t="n"/>
      <c r="D24" s="8" t="n"/>
      <c r="E24" s="8" t="n"/>
      <c r="F24" s="9" t="n"/>
      <c r="G24" s="8" t="n"/>
      <c r="H24" s="8" t="n"/>
      <c r="I24" s="8" t="n"/>
      <c r="J24" s="7" t="n"/>
      <c r="K24" s="7" t="n"/>
      <c r="L24" s="7" t="n"/>
      <c r="M24" s="33">
        <f>IF($B24="","",S24+U24+V24+W24)</f>
        <v/>
      </c>
      <c r="N24" s="33">
        <f>IF($B24="","",Z24+AB24+AD24+AF24)</f>
        <v/>
      </c>
      <c r="O24" s="34">
        <f>IF($B24="","",M24+AG24-N24)</f>
        <v/>
      </c>
      <c r="P24" s="34">
        <f>IF($B24="","",M24+AG24+AH24+AI24+AJ24)</f>
        <v/>
      </c>
      <c r="Q24">
        <f>IF($B24="","",MIN(JornadaMaxima,MAX(1,IF(MAX(0,I24)=0,JornadaMaxima,MAX(0,I24)))))</f>
        <v/>
      </c>
      <c r="R24" s="12">
        <f>IF($B24="","",IF(Q24&gt;=JornadaMaxima,IngresoMinimo,ROUND(IngresoMinimo*Q24/JornadaMaxima,0)))</f>
        <v/>
      </c>
      <c r="S24" s="12">
        <f>IF($B24="","",ROUND(MAX(0,B24),0))</f>
        <v/>
      </c>
      <c r="T24" s="13">
        <f>IF($B24="","",MAX(S24,R24)/30*28/(Q24*4)*(1+RecargoHE))</f>
        <v/>
      </c>
      <c r="U24" s="12">
        <f>IF($B24="","",ROUND(T24*MAX(0,H24),0))</f>
        <v/>
      </c>
      <c r="V24" s="12">
        <f>IF($B24="","",ROUND(MAX(0,J24),0))</f>
        <v/>
      </c>
      <c r="W24" s="12">
        <f>IF($B24="","",IF(G24="Sí",MIN(ROUND(GratTasa*(S24+U24+V24),0),TopeGratificacion),0))</f>
        <v/>
      </c>
      <c r="X24" s="12">
        <f>IF($B24="","",MIN(M24,TopeImponible))</f>
        <v/>
      </c>
      <c r="Y24" s="12">
        <f>IF($B24="","",MIN(M24,TopeCesantia))</f>
        <v/>
      </c>
      <c r="Z24" s="12">
        <f>IF($B24="","",ROUND(X24*(CotizacionAFP+IFERROR(VLOOKUP(D24,TablaAFP,2,FALSE),INDEX(ComisionesAFP,1))),0))</f>
        <v/>
      </c>
      <c r="AA24" s="12">
        <f>IF($B24="","",ROUND(X24*TasaSalud,0))</f>
        <v/>
      </c>
      <c r="AB24" s="12">
        <f>IF($B24="","",MAX(AA24,IF(E24="Isapre",ROUND(MAX(0,F24)*ValorUF,0),0)))</f>
        <v/>
      </c>
      <c r="AC24" s="12">
        <f>IF($B24="","",MIN(AB24,ROUND(TopeImponible*TasaSalud,0)))</f>
        <v/>
      </c>
      <c r="AD24" s="12">
        <f>IF($B24="","",ROUND(Y24*IFERROR(VLOOKUP(C24,TablaCesantia,2,FALSE),INDEX(CesantiaTrabajador,1)),0))</f>
        <v/>
      </c>
      <c r="AE24" s="12">
        <f>IF($B24="","",MAX(0,M24-Z24-AC24-AD24))</f>
        <v/>
      </c>
      <c r="AF24" s="12">
        <f>IF($B24="","",MAX(0,ROUND(AE24*INDEX(TramosFactor,SUMPRODUCT((TramosHasta&lt;AE24)*1)+1)-INDEX(TramosRebaja,SUMPRODUCT((TramosHasta&lt;AE24)*1)+1)*ValorUTM,0)))</f>
        <v/>
      </c>
      <c r="AG24" s="12">
        <f>IF($B24="","",ROUND(MAX(0,K24),0)+ROUND(MAX(0,L24),0))</f>
        <v/>
      </c>
      <c r="AH24" s="12">
        <f>IF($B24="","",ROUND(X24*SSCuenta,0)+ROUND(X24*SSRentabilidad,0)+ROUND(X24*SSInvalidez,0)+ROUND(X24*SSExpectativa,0))</f>
        <v/>
      </c>
      <c r="AI24" s="12">
        <f>IF($B24="","",ROUND(Y24*IFERROR(VLOOKUP(C24,TablaCesantia,3,FALSE),INDEX(CesantiaEmpleador,1)),0))</f>
        <v/>
      </c>
      <c r="AJ24" s="12">
        <f>IF($B24="","",ROUND(X24*(AccidentesBasica+MIN(0.1,MAX(0,$B$3))),0))</f>
        <v/>
      </c>
    </row>
    <row r="25">
      <c r="A25" s="8" t="n"/>
      <c r="B25" s="7" t="n"/>
      <c r="C25" s="8" t="n"/>
      <c r="D25" s="8" t="n"/>
      <c r="E25" s="8" t="n"/>
      <c r="F25" s="9" t="n"/>
      <c r="G25" s="8" t="n"/>
      <c r="H25" s="8" t="n"/>
      <c r="I25" s="8" t="n"/>
      <c r="J25" s="7" t="n"/>
      <c r="K25" s="7" t="n"/>
      <c r="L25" s="7" t="n"/>
      <c r="M25" s="33">
        <f>IF($B25="","",S25+U25+V25+W25)</f>
        <v/>
      </c>
      <c r="N25" s="33">
        <f>IF($B25="","",Z25+AB25+AD25+AF25)</f>
        <v/>
      </c>
      <c r="O25" s="34">
        <f>IF($B25="","",M25+AG25-N25)</f>
        <v/>
      </c>
      <c r="P25" s="34">
        <f>IF($B25="","",M25+AG25+AH25+AI25+AJ25)</f>
        <v/>
      </c>
      <c r="Q25">
        <f>IF($B25="","",MIN(JornadaMaxima,MAX(1,IF(MAX(0,I25)=0,JornadaMaxima,MAX(0,I25)))))</f>
        <v/>
      </c>
      <c r="R25" s="12">
        <f>IF($B25="","",IF(Q25&gt;=JornadaMaxima,IngresoMinimo,ROUND(IngresoMinimo*Q25/JornadaMaxima,0)))</f>
        <v/>
      </c>
      <c r="S25" s="12">
        <f>IF($B25="","",ROUND(MAX(0,B25),0))</f>
        <v/>
      </c>
      <c r="T25" s="13">
        <f>IF($B25="","",MAX(S25,R25)/30*28/(Q25*4)*(1+RecargoHE))</f>
        <v/>
      </c>
      <c r="U25" s="12">
        <f>IF($B25="","",ROUND(T25*MAX(0,H25),0))</f>
        <v/>
      </c>
      <c r="V25" s="12">
        <f>IF($B25="","",ROUND(MAX(0,J25),0))</f>
        <v/>
      </c>
      <c r="W25" s="12">
        <f>IF($B25="","",IF(G25="Sí",MIN(ROUND(GratTasa*(S25+U25+V25),0),TopeGratificacion),0))</f>
        <v/>
      </c>
      <c r="X25" s="12">
        <f>IF($B25="","",MIN(M25,TopeImponible))</f>
        <v/>
      </c>
      <c r="Y25" s="12">
        <f>IF($B25="","",MIN(M25,TopeCesantia))</f>
        <v/>
      </c>
      <c r="Z25" s="12">
        <f>IF($B25="","",ROUND(X25*(CotizacionAFP+IFERROR(VLOOKUP(D25,TablaAFP,2,FALSE),INDEX(ComisionesAFP,1))),0))</f>
        <v/>
      </c>
      <c r="AA25" s="12">
        <f>IF($B25="","",ROUND(X25*TasaSalud,0))</f>
        <v/>
      </c>
      <c r="AB25" s="12">
        <f>IF($B25="","",MAX(AA25,IF(E25="Isapre",ROUND(MAX(0,F25)*ValorUF,0),0)))</f>
        <v/>
      </c>
      <c r="AC25" s="12">
        <f>IF($B25="","",MIN(AB25,ROUND(TopeImponible*TasaSalud,0)))</f>
        <v/>
      </c>
      <c r="AD25" s="12">
        <f>IF($B25="","",ROUND(Y25*IFERROR(VLOOKUP(C25,TablaCesantia,2,FALSE),INDEX(CesantiaTrabajador,1)),0))</f>
        <v/>
      </c>
      <c r="AE25" s="12">
        <f>IF($B25="","",MAX(0,M25-Z25-AC25-AD25))</f>
        <v/>
      </c>
      <c r="AF25" s="12">
        <f>IF($B25="","",MAX(0,ROUND(AE25*INDEX(TramosFactor,SUMPRODUCT((TramosHasta&lt;AE25)*1)+1)-INDEX(TramosRebaja,SUMPRODUCT((TramosHasta&lt;AE25)*1)+1)*ValorUTM,0)))</f>
        <v/>
      </c>
      <c r="AG25" s="12">
        <f>IF($B25="","",ROUND(MAX(0,K25),0)+ROUND(MAX(0,L25),0))</f>
        <v/>
      </c>
      <c r="AH25" s="12">
        <f>IF($B25="","",ROUND(X25*SSCuenta,0)+ROUND(X25*SSRentabilidad,0)+ROUND(X25*SSInvalidez,0)+ROUND(X25*SSExpectativa,0))</f>
        <v/>
      </c>
      <c r="AI25" s="12">
        <f>IF($B25="","",ROUND(Y25*IFERROR(VLOOKUP(C25,TablaCesantia,3,FALSE),INDEX(CesantiaEmpleador,1)),0))</f>
        <v/>
      </c>
      <c r="AJ25" s="12">
        <f>IF($B25="","",ROUND(X25*(AccidentesBasica+MIN(0.1,MAX(0,$B$3))),0))</f>
        <v/>
      </c>
    </row>
    <row r="26">
      <c r="A26" s="8" t="n"/>
      <c r="B26" s="7" t="n"/>
      <c r="C26" s="8" t="n"/>
      <c r="D26" s="8" t="n"/>
      <c r="E26" s="8" t="n"/>
      <c r="F26" s="9" t="n"/>
      <c r="G26" s="8" t="n"/>
      <c r="H26" s="8" t="n"/>
      <c r="I26" s="8" t="n"/>
      <c r="J26" s="7" t="n"/>
      <c r="K26" s="7" t="n"/>
      <c r="L26" s="7" t="n"/>
      <c r="M26" s="33">
        <f>IF($B26="","",S26+U26+V26+W26)</f>
        <v/>
      </c>
      <c r="N26" s="33">
        <f>IF($B26="","",Z26+AB26+AD26+AF26)</f>
        <v/>
      </c>
      <c r="O26" s="34">
        <f>IF($B26="","",M26+AG26-N26)</f>
        <v/>
      </c>
      <c r="P26" s="34">
        <f>IF($B26="","",M26+AG26+AH26+AI26+AJ26)</f>
        <v/>
      </c>
      <c r="Q26">
        <f>IF($B26="","",MIN(JornadaMaxima,MAX(1,IF(MAX(0,I26)=0,JornadaMaxima,MAX(0,I26)))))</f>
        <v/>
      </c>
      <c r="R26" s="12">
        <f>IF($B26="","",IF(Q26&gt;=JornadaMaxima,IngresoMinimo,ROUND(IngresoMinimo*Q26/JornadaMaxima,0)))</f>
        <v/>
      </c>
      <c r="S26" s="12">
        <f>IF($B26="","",ROUND(MAX(0,B26),0))</f>
        <v/>
      </c>
      <c r="T26" s="13">
        <f>IF($B26="","",MAX(S26,R26)/30*28/(Q26*4)*(1+RecargoHE))</f>
        <v/>
      </c>
      <c r="U26" s="12">
        <f>IF($B26="","",ROUND(T26*MAX(0,H26),0))</f>
        <v/>
      </c>
      <c r="V26" s="12">
        <f>IF($B26="","",ROUND(MAX(0,J26),0))</f>
        <v/>
      </c>
      <c r="W26" s="12">
        <f>IF($B26="","",IF(G26="Sí",MIN(ROUND(GratTasa*(S26+U26+V26),0),TopeGratificacion),0))</f>
        <v/>
      </c>
      <c r="X26" s="12">
        <f>IF($B26="","",MIN(M26,TopeImponible))</f>
        <v/>
      </c>
      <c r="Y26" s="12">
        <f>IF($B26="","",MIN(M26,TopeCesantia))</f>
        <v/>
      </c>
      <c r="Z26" s="12">
        <f>IF($B26="","",ROUND(X26*(CotizacionAFP+IFERROR(VLOOKUP(D26,TablaAFP,2,FALSE),INDEX(ComisionesAFP,1))),0))</f>
        <v/>
      </c>
      <c r="AA26" s="12">
        <f>IF($B26="","",ROUND(X26*TasaSalud,0))</f>
        <v/>
      </c>
      <c r="AB26" s="12">
        <f>IF($B26="","",MAX(AA26,IF(E26="Isapre",ROUND(MAX(0,F26)*ValorUF,0),0)))</f>
        <v/>
      </c>
      <c r="AC26" s="12">
        <f>IF($B26="","",MIN(AB26,ROUND(TopeImponible*TasaSalud,0)))</f>
        <v/>
      </c>
      <c r="AD26" s="12">
        <f>IF($B26="","",ROUND(Y26*IFERROR(VLOOKUP(C26,TablaCesantia,2,FALSE),INDEX(CesantiaTrabajador,1)),0))</f>
        <v/>
      </c>
      <c r="AE26" s="12">
        <f>IF($B26="","",MAX(0,M26-Z26-AC26-AD26))</f>
        <v/>
      </c>
      <c r="AF26" s="12">
        <f>IF($B26="","",MAX(0,ROUND(AE26*INDEX(TramosFactor,SUMPRODUCT((TramosHasta&lt;AE26)*1)+1)-INDEX(TramosRebaja,SUMPRODUCT((TramosHasta&lt;AE26)*1)+1)*ValorUTM,0)))</f>
        <v/>
      </c>
      <c r="AG26" s="12">
        <f>IF($B26="","",ROUND(MAX(0,K26),0)+ROUND(MAX(0,L26),0))</f>
        <v/>
      </c>
      <c r="AH26" s="12">
        <f>IF($B26="","",ROUND(X26*SSCuenta,0)+ROUND(X26*SSRentabilidad,0)+ROUND(X26*SSInvalidez,0)+ROUND(X26*SSExpectativa,0))</f>
        <v/>
      </c>
      <c r="AI26" s="12">
        <f>IF($B26="","",ROUND(Y26*IFERROR(VLOOKUP(C26,TablaCesantia,3,FALSE),INDEX(CesantiaEmpleador,1)),0))</f>
        <v/>
      </c>
      <c r="AJ26" s="12">
        <f>IF($B26="","",ROUND(X26*(AccidentesBasica+MIN(0.1,MAX(0,$B$3))),0))</f>
        <v/>
      </c>
    </row>
    <row r="27">
      <c r="A27" s="8" t="n"/>
      <c r="B27" s="7" t="n"/>
      <c r="C27" s="8" t="n"/>
      <c r="D27" s="8" t="n"/>
      <c r="E27" s="8" t="n"/>
      <c r="F27" s="9" t="n"/>
      <c r="G27" s="8" t="n"/>
      <c r="H27" s="8" t="n"/>
      <c r="I27" s="8" t="n"/>
      <c r="J27" s="7" t="n"/>
      <c r="K27" s="7" t="n"/>
      <c r="L27" s="7" t="n"/>
      <c r="M27" s="33">
        <f>IF($B27="","",S27+U27+V27+W27)</f>
        <v/>
      </c>
      <c r="N27" s="33">
        <f>IF($B27="","",Z27+AB27+AD27+AF27)</f>
        <v/>
      </c>
      <c r="O27" s="34">
        <f>IF($B27="","",M27+AG27-N27)</f>
        <v/>
      </c>
      <c r="P27" s="34">
        <f>IF($B27="","",M27+AG27+AH27+AI27+AJ27)</f>
        <v/>
      </c>
      <c r="Q27">
        <f>IF($B27="","",MIN(JornadaMaxima,MAX(1,IF(MAX(0,I27)=0,JornadaMaxima,MAX(0,I27)))))</f>
        <v/>
      </c>
      <c r="R27" s="12">
        <f>IF($B27="","",IF(Q27&gt;=JornadaMaxima,IngresoMinimo,ROUND(IngresoMinimo*Q27/JornadaMaxima,0)))</f>
        <v/>
      </c>
      <c r="S27" s="12">
        <f>IF($B27="","",ROUND(MAX(0,B27),0))</f>
        <v/>
      </c>
      <c r="T27" s="13">
        <f>IF($B27="","",MAX(S27,R27)/30*28/(Q27*4)*(1+RecargoHE))</f>
        <v/>
      </c>
      <c r="U27" s="12">
        <f>IF($B27="","",ROUND(T27*MAX(0,H27),0))</f>
        <v/>
      </c>
      <c r="V27" s="12">
        <f>IF($B27="","",ROUND(MAX(0,J27),0))</f>
        <v/>
      </c>
      <c r="W27" s="12">
        <f>IF($B27="","",IF(G27="Sí",MIN(ROUND(GratTasa*(S27+U27+V27),0),TopeGratificacion),0))</f>
        <v/>
      </c>
      <c r="X27" s="12">
        <f>IF($B27="","",MIN(M27,TopeImponible))</f>
        <v/>
      </c>
      <c r="Y27" s="12">
        <f>IF($B27="","",MIN(M27,TopeCesantia))</f>
        <v/>
      </c>
      <c r="Z27" s="12">
        <f>IF($B27="","",ROUND(X27*(CotizacionAFP+IFERROR(VLOOKUP(D27,TablaAFP,2,FALSE),INDEX(ComisionesAFP,1))),0))</f>
        <v/>
      </c>
      <c r="AA27" s="12">
        <f>IF($B27="","",ROUND(X27*TasaSalud,0))</f>
        <v/>
      </c>
      <c r="AB27" s="12">
        <f>IF($B27="","",MAX(AA27,IF(E27="Isapre",ROUND(MAX(0,F27)*ValorUF,0),0)))</f>
        <v/>
      </c>
      <c r="AC27" s="12">
        <f>IF($B27="","",MIN(AB27,ROUND(TopeImponible*TasaSalud,0)))</f>
        <v/>
      </c>
      <c r="AD27" s="12">
        <f>IF($B27="","",ROUND(Y27*IFERROR(VLOOKUP(C27,TablaCesantia,2,FALSE),INDEX(CesantiaTrabajador,1)),0))</f>
        <v/>
      </c>
      <c r="AE27" s="12">
        <f>IF($B27="","",MAX(0,M27-Z27-AC27-AD27))</f>
        <v/>
      </c>
      <c r="AF27" s="12">
        <f>IF($B27="","",MAX(0,ROUND(AE27*INDEX(TramosFactor,SUMPRODUCT((TramosHasta&lt;AE27)*1)+1)-INDEX(TramosRebaja,SUMPRODUCT((TramosHasta&lt;AE27)*1)+1)*ValorUTM,0)))</f>
        <v/>
      </c>
      <c r="AG27" s="12">
        <f>IF($B27="","",ROUND(MAX(0,K27),0)+ROUND(MAX(0,L27),0))</f>
        <v/>
      </c>
      <c r="AH27" s="12">
        <f>IF($B27="","",ROUND(X27*SSCuenta,0)+ROUND(X27*SSRentabilidad,0)+ROUND(X27*SSInvalidez,0)+ROUND(X27*SSExpectativa,0))</f>
        <v/>
      </c>
      <c r="AI27" s="12">
        <f>IF($B27="","",ROUND(Y27*IFERROR(VLOOKUP(C27,TablaCesantia,3,FALSE),INDEX(CesantiaEmpleador,1)),0))</f>
        <v/>
      </c>
      <c r="AJ27" s="12">
        <f>IF($B27="","",ROUND(X27*(AccidentesBasica+MIN(0.1,MAX(0,$B$3))),0))</f>
        <v/>
      </c>
    </row>
    <row r="28">
      <c r="A28" s="8" t="n"/>
      <c r="B28" s="7" t="n"/>
      <c r="C28" s="8" t="n"/>
      <c r="D28" s="8" t="n"/>
      <c r="E28" s="8" t="n"/>
      <c r="F28" s="9" t="n"/>
      <c r="G28" s="8" t="n"/>
      <c r="H28" s="8" t="n"/>
      <c r="I28" s="8" t="n"/>
      <c r="J28" s="7" t="n"/>
      <c r="K28" s="7" t="n"/>
      <c r="L28" s="7" t="n"/>
      <c r="M28" s="33">
        <f>IF($B28="","",S28+U28+V28+W28)</f>
        <v/>
      </c>
      <c r="N28" s="33">
        <f>IF($B28="","",Z28+AB28+AD28+AF28)</f>
        <v/>
      </c>
      <c r="O28" s="34">
        <f>IF($B28="","",M28+AG28-N28)</f>
        <v/>
      </c>
      <c r="P28" s="34">
        <f>IF($B28="","",M28+AG28+AH28+AI28+AJ28)</f>
        <v/>
      </c>
      <c r="Q28">
        <f>IF($B28="","",MIN(JornadaMaxima,MAX(1,IF(MAX(0,I28)=0,JornadaMaxima,MAX(0,I28)))))</f>
        <v/>
      </c>
      <c r="R28" s="12">
        <f>IF($B28="","",IF(Q28&gt;=JornadaMaxima,IngresoMinimo,ROUND(IngresoMinimo*Q28/JornadaMaxima,0)))</f>
        <v/>
      </c>
      <c r="S28" s="12">
        <f>IF($B28="","",ROUND(MAX(0,B28),0))</f>
        <v/>
      </c>
      <c r="T28" s="13">
        <f>IF($B28="","",MAX(S28,R28)/30*28/(Q28*4)*(1+RecargoHE))</f>
        <v/>
      </c>
      <c r="U28" s="12">
        <f>IF($B28="","",ROUND(T28*MAX(0,H28),0))</f>
        <v/>
      </c>
      <c r="V28" s="12">
        <f>IF($B28="","",ROUND(MAX(0,J28),0))</f>
        <v/>
      </c>
      <c r="W28" s="12">
        <f>IF($B28="","",IF(G28="Sí",MIN(ROUND(GratTasa*(S28+U28+V28),0),TopeGratificacion),0))</f>
        <v/>
      </c>
      <c r="X28" s="12">
        <f>IF($B28="","",MIN(M28,TopeImponible))</f>
        <v/>
      </c>
      <c r="Y28" s="12">
        <f>IF($B28="","",MIN(M28,TopeCesantia))</f>
        <v/>
      </c>
      <c r="Z28" s="12">
        <f>IF($B28="","",ROUND(X28*(CotizacionAFP+IFERROR(VLOOKUP(D28,TablaAFP,2,FALSE),INDEX(ComisionesAFP,1))),0))</f>
        <v/>
      </c>
      <c r="AA28" s="12">
        <f>IF($B28="","",ROUND(X28*TasaSalud,0))</f>
        <v/>
      </c>
      <c r="AB28" s="12">
        <f>IF($B28="","",MAX(AA28,IF(E28="Isapre",ROUND(MAX(0,F28)*ValorUF,0),0)))</f>
        <v/>
      </c>
      <c r="AC28" s="12">
        <f>IF($B28="","",MIN(AB28,ROUND(TopeImponible*TasaSalud,0)))</f>
        <v/>
      </c>
      <c r="AD28" s="12">
        <f>IF($B28="","",ROUND(Y28*IFERROR(VLOOKUP(C28,TablaCesantia,2,FALSE),INDEX(CesantiaTrabajador,1)),0))</f>
        <v/>
      </c>
      <c r="AE28" s="12">
        <f>IF($B28="","",MAX(0,M28-Z28-AC28-AD28))</f>
        <v/>
      </c>
      <c r="AF28" s="12">
        <f>IF($B28="","",MAX(0,ROUND(AE28*INDEX(TramosFactor,SUMPRODUCT((TramosHasta&lt;AE28)*1)+1)-INDEX(TramosRebaja,SUMPRODUCT((TramosHasta&lt;AE28)*1)+1)*ValorUTM,0)))</f>
        <v/>
      </c>
      <c r="AG28" s="12">
        <f>IF($B28="","",ROUND(MAX(0,K28),0)+ROUND(MAX(0,L28),0))</f>
        <v/>
      </c>
      <c r="AH28" s="12">
        <f>IF($B28="","",ROUND(X28*SSCuenta,0)+ROUND(X28*SSRentabilidad,0)+ROUND(X28*SSInvalidez,0)+ROUND(X28*SSExpectativa,0))</f>
        <v/>
      </c>
      <c r="AI28" s="12">
        <f>IF($B28="","",ROUND(Y28*IFERROR(VLOOKUP(C28,TablaCesantia,3,FALSE),INDEX(CesantiaEmpleador,1)),0))</f>
        <v/>
      </c>
      <c r="AJ28" s="12">
        <f>IF($B28="","",ROUND(X28*(AccidentesBasica+MIN(0.1,MAX(0,$B$3))),0))</f>
        <v/>
      </c>
    </row>
    <row r="29">
      <c r="A29" s="8" t="n"/>
      <c r="B29" s="7" t="n"/>
      <c r="C29" s="8" t="n"/>
      <c r="D29" s="8" t="n"/>
      <c r="E29" s="8" t="n"/>
      <c r="F29" s="9" t="n"/>
      <c r="G29" s="8" t="n"/>
      <c r="H29" s="8" t="n"/>
      <c r="I29" s="8" t="n"/>
      <c r="J29" s="7" t="n"/>
      <c r="K29" s="7" t="n"/>
      <c r="L29" s="7" t="n"/>
      <c r="M29" s="33">
        <f>IF($B29="","",S29+U29+V29+W29)</f>
        <v/>
      </c>
      <c r="N29" s="33">
        <f>IF($B29="","",Z29+AB29+AD29+AF29)</f>
        <v/>
      </c>
      <c r="O29" s="34">
        <f>IF($B29="","",M29+AG29-N29)</f>
        <v/>
      </c>
      <c r="P29" s="34">
        <f>IF($B29="","",M29+AG29+AH29+AI29+AJ29)</f>
        <v/>
      </c>
      <c r="Q29">
        <f>IF($B29="","",MIN(JornadaMaxima,MAX(1,IF(MAX(0,I29)=0,JornadaMaxima,MAX(0,I29)))))</f>
        <v/>
      </c>
      <c r="R29" s="12">
        <f>IF($B29="","",IF(Q29&gt;=JornadaMaxima,IngresoMinimo,ROUND(IngresoMinimo*Q29/JornadaMaxima,0)))</f>
        <v/>
      </c>
      <c r="S29" s="12">
        <f>IF($B29="","",ROUND(MAX(0,B29),0))</f>
        <v/>
      </c>
      <c r="T29" s="13">
        <f>IF($B29="","",MAX(S29,R29)/30*28/(Q29*4)*(1+RecargoHE))</f>
        <v/>
      </c>
      <c r="U29" s="12">
        <f>IF($B29="","",ROUND(T29*MAX(0,H29),0))</f>
        <v/>
      </c>
      <c r="V29" s="12">
        <f>IF($B29="","",ROUND(MAX(0,J29),0))</f>
        <v/>
      </c>
      <c r="W29" s="12">
        <f>IF($B29="","",IF(G29="Sí",MIN(ROUND(GratTasa*(S29+U29+V29),0),TopeGratificacion),0))</f>
        <v/>
      </c>
      <c r="X29" s="12">
        <f>IF($B29="","",MIN(M29,TopeImponible))</f>
        <v/>
      </c>
      <c r="Y29" s="12">
        <f>IF($B29="","",MIN(M29,TopeCesantia))</f>
        <v/>
      </c>
      <c r="Z29" s="12">
        <f>IF($B29="","",ROUND(X29*(CotizacionAFP+IFERROR(VLOOKUP(D29,TablaAFP,2,FALSE),INDEX(ComisionesAFP,1))),0))</f>
        <v/>
      </c>
      <c r="AA29" s="12">
        <f>IF($B29="","",ROUND(X29*TasaSalud,0))</f>
        <v/>
      </c>
      <c r="AB29" s="12">
        <f>IF($B29="","",MAX(AA29,IF(E29="Isapre",ROUND(MAX(0,F29)*ValorUF,0),0)))</f>
        <v/>
      </c>
      <c r="AC29" s="12">
        <f>IF($B29="","",MIN(AB29,ROUND(TopeImponible*TasaSalud,0)))</f>
        <v/>
      </c>
      <c r="AD29" s="12">
        <f>IF($B29="","",ROUND(Y29*IFERROR(VLOOKUP(C29,TablaCesantia,2,FALSE),INDEX(CesantiaTrabajador,1)),0))</f>
        <v/>
      </c>
      <c r="AE29" s="12">
        <f>IF($B29="","",MAX(0,M29-Z29-AC29-AD29))</f>
        <v/>
      </c>
      <c r="AF29" s="12">
        <f>IF($B29="","",MAX(0,ROUND(AE29*INDEX(TramosFactor,SUMPRODUCT((TramosHasta&lt;AE29)*1)+1)-INDEX(TramosRebaja,SUMPRODUCT((TramosHasta&lt;AE29)*1)+1)*ValorUTM,0)))</f>
        <v/>
      </c>
      <c r="AG29" s="12">
        <f>IF($B29="","",ROUND(MAX(0,K29),0)+ROUND(MAX(0,L29),0))</f>
        <v/>
      </c>
      <c r="AH29" s="12">
        <f>IF($B29="","",ROUND(X29*SSCuenta,0)+ROUND(X29*SSRentabilidad,0)+ROUND(X29*SSInvalidez,0)+ROUND(X29*SSExpectativa,0))</f>
        <v/>
      </c>
      <c r="AI29" s="12">
        <f>IF($B29="","",ROUND(Y29*IFERROR(VLOOKUP(C29,TablaCesantia,3,FALSE),INDEX(CesantiaEmpleador,1)),0))</f>
        <v/>
      </c>
      <c r="AJ29" s="12">
        <f>IF($B29="","",ROUND(X29*(AccidentesBasica+MIN(0.1,MAX(0,$B$3))),0))</f>
        <v/>
      </c>
    </row>
    <row r="30">
      <c r="A30" s="8" t="n"/>
      <c r="B30" s="7" t="n"/>
      <c r="C30" s="8" t="n"/>
      <c r="D30" s="8" t="n"/>
      <c r="E30" s="8" t="n"/>
      <c r="F30" s="9" t="n"/>
      <c r="G30" s="8" t="n"/>
      <c r="H30" s="8" t="n"/>
      <c r="I30" s="8" t="n"/>
      <c r="J30" s="7" t="n"/>
      <c r="K30" s="7" t="n"/>
      <c r="L30" s="7" t="n"/>
      <c r="M30" s="33">
        <f>IF($B30="","",S30+U30+V30+W30)</f>
        <v/>
      </c>
      <c r="N30" s="33">
        <f>IF($B30="","",Z30+AB30+AD30+AF30)</f>
        <v/>
      </c>
      <c r="O30" s="34">
        <f>IF($B30="","",M30+AG30-N30)</f>
        <v/>
      </c>
      <c r="P30" s="34">
        <f>IF($B30="","",M30+AG30+AH30+AI30+AJ30)</f>
        <v/>
      </c>
      <c r="Q30">
        <f>IF($B30="","",MIN(JornadaMaxima,MAX(1,IF(MAX(0,I30)=0,JornadaMaxima,MAX(0,I30)))))</f>
        <v/>
      </c>
      <c r="R30" s="12">
        <f>IF($B30="","",IF(Q30&gt;=JornadaMaxima,IngresoMinimo,ROUND(IngresoMinimo*Q30/JornadaMaxima,0)))</f>
        <v/>
      </c>
      <c r="S30" s="12">
        <f>IF($B30="","",ROUND(MAX(0,B30),0))</f>
        <v/>
      </c>
      <c r="T30" s="13">
        <f>IF($B30="","",MAX(S30,R30)/30*28/(Q30*4)*(1+RecargoHE))</f>
        <v/>
      </c>
      <c r="U30" s="12">
        <f>IF($B30="","",ROUND(T30*MAX(0,H30),0))</f>
        <v/>
      </c>
      <c r="V30" s="12">
        <f>IF($B30="","",ROUND(MAX(0,J30),0))</f>
        <v/>
      </c>
      <c r="W30" s="12">
        <f>IF($B30="","",IF(G30="Sí",MIN(ROUND(GratTasa*(S30+U30+V30),0),TopeGratificacion),0))</f>
        <v/>
      </c>
      <c r="X30" s="12">
        <f>IF($B30="","",MIN(M30,TopeImponible))</f>
        <v/>
      </c>
      <c r="Y30" s="12">
        <f>IF($B30="","",MIN(M30,TopeCesantia))</f>
        <v/>
      </c>
      <c r="Z30" s="12">
        <f>IF($B30="","",ROUND(X30*(CotizacionAFP+IFERROR(VLOOKUP(D30,TablaAFP,2,FALSE),INDEX(ComisionesAFP,1))),0))</f>
        <v/>
      </c>
      <c r="AA30" s="12">
        <f>IF($B30="","",ROUND(X30*TasaSalud,0))</f>
        <v/>
      </c>
      <c r="AB30" s="12">
        <f>IF($B30="","",MAX(AA30,IF(E30="Isapre",ROUND(MAX(0,F30)*ValorUF,0),0)))</f>
        <v/>
      </c>
      <c r="AC30" s="12">
        <f>IF($B30="","",MIN(AB30,ROUND(TopeImponible*TasaSalud,0)))</f>
        <v/>
      </c>
      <c r="AD30" s="12">
        <f>IF($B30="","",ROUND(Y30*IFERROR(VLOOKUP(C30,TablaCesantia,2,FALSE),INDEX(CesantiaTrabajador,1)),0))</f>
        <v/>
      </c>
      <c r="AE30" s="12">
        <f>IF($B30="","",MAX(0,M30-Z30-AC30-AD30))</f>
        <v/>
      </c>
      <c r="AF30" s="12">
        <f>IF($B30="","",MAX(0,ROUND(AE30*INDEX(TramosFactor,SUMPRODUCT((TramosHasta&lt;AE30)*1)+1)-INDEX(TramosRebaja,SUMPRODUCT((TramosHasta&lt;AE30)*1)+1)*ValorUTM,0)))</f>
        <v/>
      </c>
      <c r="AG30" s="12">
        <f>IF($B30="","",ROUND(MAX(0,K30),0)+ROUND(MAX(0,L30),0))</f>
        <v/>
      </c>
      <c r="AH30" s="12">
        <f>IF($B30="","",ROUND(X30*SSCuenta,0)+ROUND(X30*SSRentabilidad,0)+ROUND(X30*SSInvalidez,0)+ROUND(X30*SSExpectativa,0))</f>
        <v/>
      </c>
      <c r="AI30" s="12">
        <f>IF($B30="","",ROUND(Y30*IFERROR(VLOOKUP(C30,TablaCesantia,3,FALSE),INDEX(CesantiaEmpleador,1)),0))</f>
        <v/>
      </c>
      <c r="AJ30" s="12">
        <f>IF($B30="","",ROUND(X30*(AccidentesBasica+MIN(0.1,MAX(0,$B$3))),0))</f>
        <v/>
      </c>
    </row>
    <row r="31">
      <c r="A31" s="8" t="n"/>
      <c r="B31" s="7" t="n"/>
      <c r="C31" s="8" t="n"/>
      <c r="D31" s="8" t="n"/>
      <c r="E31" s="8" t="n"/>
      <c r="F31" s="9" t="n"/>
      <c r="G31" s="8" t="n"/>
      <c r="H31" s="8" t="n"/>
      <c r="I31" s="8" t="n"/>
      <c r="J31" s="7" t="n"/>
      <c r="K31" s="7" t="n"/>
      <c r="L31" s="7" t="n"/>
      <c r="M31" s="33">
        <f>IF($B31="","",S31+U31+V31+W31)</f>
        <v/>
      </c>
      <c r="N31" s="33">
        <f>IF($B31="","",Z31+AB31+AD31+AF31)</f>
        <v/>
      </c>
      <c r="O31" s="34">
        <f>IF($B31="","",M31+AG31-N31)</f>
        <v/>
      </c>
      <c r="P31" s="34">
        <f>IF($B31="","",M31+AG31+AH31+AI31+AJ31)</f>
        <v/>
      </c>
      <c r="Q31">
        <f>IF($B31="","",MIN(JornadaMaxima,MAX(1,IF(MAX(0,I31)=0,JornadaMaxima,MAX(0,I31)))))</f>
        <v/>
      </c>
      <c r="R31" s="12">
        <f>IF($B31="","",IF(Q31&gt;=JornadaMaxima,IngresoMinimo,ROUND(IngresoMinimo*Q31/JornadaMaxima,0)))</f>
        <v/>
      </c>
      <c r="S31" s="12">
        <f>IF($B31="","",ROUND(MAX(0,B31),0))</f>
        <v/>
      </c>
      <c r="T31" s="13">
        <f>IF($B31="","",MAX(S31,R31)/30*28/(Q31*4)*(1+RecargoHE))</f>
        <v/>
      </c>
      <c r="U31" s="12">
        <f>IF($B31="","",ROUND(T31*MAX(0,H31),0))</f>
        <v/>
      </c>
      <c r="V31" s="12">
        <f>IF($B31="","",ROUND(MAX(0,J31),0))</f>
        <v/>
      </c>
      <c r="W31" s="12">
        <f>IF($B31="","",IF(G31="Sí",MIN(ROUND(GratTasa*(S31+U31+V31),0),TopeGratificacion),0))</f>
        <v/>
      </c>
      <c r="X31" s="12">
        <f>IF($B31="","",MIN(M31,TopeImponible))</f>
        <v/>
      </c>
      <c r="Y31" s="12">
        <f>IF($B31="","",MIN(M31,TopeCesantia))</f>
        <v/>
      </c>
      <c r="Z31" s="12">
        <f>IF($B31="","",ROUND(X31*(CotizacionAFP+IFERROR(VLOOKUP(D31,TablaAFP,2,FALSE),INDEX(ComisionesAFP,1))),0))</f>
        <v/>
      </c>
      <c r="AA31" s="12">
        <f>IF($B31="","",ROUND(X31*TasaSalud,0))</f>
        <v/>
      </c>
      <c r="AB31" s="12">
        <f>IF($B31="","",MAX(AA31,IF(E31="Isapre",ROUND(MAX(0,F31)*ValorUF,0),0)))</f>
        <v/>
      </c>
      <c r="AC31" s="12">
        <f>IF($B31="","",MIN(AB31,ROUND(TopeImponible*TasaSalud,0)))</f>
        <v/>
      </c>
      <c r="AD31" s="12">
        <f>IF($B31="","",ROUND(Y31*IFERROR(VLOOKUP(C31,TablaCesantia,2,FALSE),INDEX(CesantiaTrabajador,1)),0))</f>
        <v/>
      </c>
      <c r="AE31" s="12">
        <f>IF($B31="","",MAX(0,M31-Z31-AC31-AD31))</f>
        <v/>
      </c>
      <c r="AF31" s="12">
        <f>IF($B31="","",MAX(0,ROUND(AE31*INDEX(TramosFactor,SUMPRODUCT((TramosHasta&lt;AE31)*1)+1)-INDEX(TramosRebaja,SUMPRODUCT((TramosHasta&lt;AE31)*1)+1)*ValorUTM,0)))</f>
        <v/>
      </c>
      <c r="AG31" s="12">
        <f>IF($B31="","",ROUND(MAX(0,K31),0)+ROUND(MAX(0,L31),0))</f>
        <v/>
      </c>
      <c r="AH31" s="12">
        <f>IF($B31="","",ROUND(X31*SSCuenta,0)+ROUND(X31*SSRentabilidad,0)+ROUND(X31*SSInvalidez,0)+ROUND(X31*SSExpectativa,0))</f>
        <v/>
      </c>
      <c r="AI31" s="12">
        <f>IF($B31="","",ROUND(Y31*IFERROR(VLOOKUP(C31,TablaCesantia,3,FALSE),INDEX(CesantiaEmpleador,1)),0))</f>
        <v/>
      </c>
      <c r="AJ31" s="12">
        <f>IF($B31="","",ROUND(X31*(AccidentesBasica+MIN(0.1,MAX(0,$B$3))),0))</f>
        <v/>
      </c>
    </row>
    <row r="32">
      <c r="A32" s="8" t="n"/>
      <c r="B32" s="7" t="n"/>
      <c r="C32" s="8" t="n"/>
      <c r="D32" s="8" t="n"/>
      <c r="E32" s="8" t="n"/>
      <c r="F32" s="9" t="n"/>
      <c r="G32" s="8" t="n"/>
      <c r="H32" s="8" t="n"/>
      <c r="I32" s="8" t="n"/>
      <c r="J32" s="7" t="n"/>
      <c r="K32" s="7" t="n"/>
      <c r="L32" s="7" t="n"/>
      <c r="M32" s="33">
        <f>IF($B32="","",S32+U32+V32+W32)</f>
        <v/>
      </c>
      <c r="N32" s="33">
        <f>IF($B32="","",Z32+AB32+AD32+AF32)</f>
        <v/>
      </c>
      <c r="O32" s="34">
        <f>IF($B32="","",M32+AG32-N32)</f>
        <v/>
      </c>
      <c r="P32" s="34">
        <f>IF($B32="","",M32+AG32+AH32+AI32+AJ32)</f>
        <v/>
      </c>
      <c r="Q32">
        <f>IF($B32="","",MIN(JornadaMaxima,MAX(1,IF(MAX(0,I32)=0,JornadaMaxima,MAX(0,I32)))))</f>
        <v/>
      </c>
      <c r="R32" s="12">
        <f>IF($B32="","",IF(Q32&gt;=JornadaMaxima,IngresoMinimo,ROUND(IngresoMinimo*Q32/JornadaMaxima,0)))</f>
        <v/>
      </c>
      <c r="S32" s="12">
        <f>IF($B32="","",ROUND(MAX(0,B32),0))</f>
        <v/>
      </c>
      <c r="T32" s="13">
        <f>IF($B32="","",MAX(S32,R32)/30*28/(Q32*4)*(1+RecargoHE))</f>
        <v/>
      </c>
      <c r="U32" s="12">
        <f>IF($B32="","",ROUND(T32*MAX(0,H32),0))</f>
        <v/>
      </c>
      <c r="V32" s="12">
        <f>IF($B32="","",ROUND(MAX(0,J32),0))</f>
        <v/>
      </c>
      <c r="W32" s="12">
        <f>IF($B32="","",IF(G32="Sí",MIN(ROUND(GratTasa*(S32+U32+V32),0),TopeGratificacion),0))</f>
        <v/>
      </c>
      <c r="X32" s="12">
        <f>IF($B32="","",MIN(M32,TopeImponible))</f>
        <v/>
      </c>
      <c r="Y32" s="12">
        <f>IF($B32="","",MIN(M32,TopeCesantia))</f>
        <v/>
      </c>
      <c r="Z32" s="12">
        <f>IF($B32="","",ROUND(X32*(CotizacionAFP+IFERROR(VLOOKUP(D32,TablaAFP,2,FALSE),INDEX(ComisionesAFP,1))),0))</f>
        <v/>
      </c>
      <c r="AA32" s="12">
        <f>IF($B32="","",ROUND(X32*TasaSalud,0))</f>
        <v/>
      </c>
      <c r="AB32" s="12">
        <f>IF($B32="","",MAX(AA32,IF(E32="Isapre",ROUND(MAX(0,F32)*ValorUF,0),0)))</f>
        <v/>
      </c>
      <c r="AC32" s="12">
        <f>IF($B32="","",MIN(AB32,ROUND(TopeImponible*TasaSalud,0)))</f>
        <v/>
      </c>
      <c r="AD32" s="12">
        <f>IF($B32="","",ROUND(Y32*IFERROR(VLOOKUP(C32,TablaCesantia,2,FALSE),INDEX(CesantiaTrabajador,1)),0))</f>
        <v/>
      </c>
      <c r="AE32" s="12">
        <f>IF($B32="","",MAX(0,M32-Z32-AC32-AD32))</f>
        <v/>
      </c>
      <c r="AF32" s="12">
        <f>IF($B32="","",MAX(0,ROUND(AE32*INDEX(TramosFactor,SUMPRODUCT((TramosHasta&lt;AE32)*1)+1)-INDEX(TramosRebaja,SUMPRODUCT((TramosHasta&lt;AE32)*1)+1)*ValorUTM,0)))</f>
        <v/>
      </c>
      <c r="AG32" s="12">
        <f>IF($B32="","",ROUND(MAX(0,K32),0)+ROUND(MAX(0,L32),0))</f>
        <v/>
      </c>
      <c r="AH32" s="12">
        <f>IF($B32="","",ROUND(X32*SSCuenta,0)+ROUND(X32*SSRentabilidad,0)+ROUND(X32*SSInvalidez,0)+ROUND(X32*SSExpectativa,0))</f>
        <v/>
      </c>
      <c r="AI32" s="12">
        <f>IF($B32="","",ROUND(Y32*IFERROR(VLOOKUP(C32,TablaCesantia,3,FALSE),INDEX(CesantiaEmpleador,1)),0))</f>
        <v/>
      </c>
      <c r="AJ32" s="12">
        <f>IF($B32="","",ROUND(X32*(AccidentesBasica+MIN(0.1,MAX(0,$B$3))),0))</f>
        <v/>
      </c>
    </row>
    <row r="33">
      <c r="A33" s="8" t="n"/>
      <c r="B33" s="7" t="n"/>
      <c r="C33" s="8" t="n"/>
      <c r="D33" s="8" t="n"/>
      <c r="E33" s="8" t="n"/>
      <c r="F33" s="9" t="n"/>
      <c r="G33" s="8" t="n"/>
      <c r="H33" s="8" t="n"/>
      <c r="I33" s="8" t="n"/>
      <c r="J33" s="7" t="n"/>
      <c r="K33" s="7" t="n"/>
      <c r="L33" s="7" t="n"/>
      <c r="M33" s="33">
        <f>IF($B33="","",S33+U33+V33+W33)</f>
        <v/>
      </c>
      <c r="N33" s="33">
        <f>IF($B33="","",Z33+AB33+AD33+AF33)</f>
        <v/>
      </c>
      <c r="O33" s="34">
        <f>IF($B33="","",M33+AG33-N33)</f>
        <v/>
      </c>
      <c r="P33" s="34">
        <f>IF($B33="","",M33+AG33+AH33+AI33+AJ33)</f>
        <v/>
      </c>
      <c r="Q33">
        <f>IF($B33="","",MIN(JornadaMaxima,MAX(1,IF(MAX(0,I33)=0,JornadaMaxima,MAX(0,I33)))))</f>
        <v/>
      </c>
      <c r="R33" s="12">
        <f>IF($B33="","",IF(Q33&gt;=JornadaMaxima,IngresoMinimo,ROUND(IngresoMinimo*Q33/JornadaMaxima,0)))</f>
        <v/>
      </c>
      <c r="S33" s="12">
        <f>IF($B33="","",ROUND(MAX(0,B33),0))</f>
        <v/>
      </c>
      <c r="T33" s="13">
        <f>IF($B33="","",MAX(S33,R33)/30*28/(Q33*4)*(1+RecargoHE))</f>
        <v/>
      </c>
      <c r="U33" s="12">
        <f>IF($B33="","",ROUND(T33*MAX(0,H33),0))</f>
        <v/>
      </c>
      <c r="V33" s="12">
        <f>IF($B33="","",ROUND(MAX(0,J33),0))</f>
        <v/>
      </c>
      <c r="W33" s="12">
        <f>IF($B33="","",IF(G33="Sí",MIN(ROUND(GratTasa*(S33+U33+V33),0),TopeGratificacion),0))</f>
        <v/>
      </c>
      <c r="X33" s="12">
        <f>IF($B33="","",MIN(M33,TopeImponible))</f>
        <v/>
      </c>
      <c r="Y33" s="12">
        <f>IF($B33="","",MIN(M33,TopeCesantia))</f>
        <v/>
      </c>
      <c r="Z33" s="12">
        <f>IF($B33="","",ROUND(X33*(CotizacionAFP+IFERROR(VLOOKUP(D33,TablaAFP,2,FALSE),INDEX(ComisionesAFP,1))),0))</f>
        <v/>
      </c>
      <c r="AA33" s="12">
        <f>IF($B33="","",ROUND(X33*TasaSalud,0))</f>
        <v/>
      </c>
      <c r="AB33" s="12">
        <f>IF($B33="","",MAX(AA33,IF(E33="Isapre",ROUND(MAX(0,F33)*ValorUF,0),0)))</f>
        <v/>
      </c>
      <c r="AC33" s="12">
        <f>IF($B33="","",MIN(AB33,ROUND(TopeImponible*TasaSalud,0)))</f>
        <v/>
      </c>
      <c r="AD33" s="12">
        <f>IF($B33="","",ROUND(Y33*IFERROR(VLOOKUP(C33,TablaCesantia,2,FALSE),INDEX(CesantiaTrabajador,1)),0))</f>
        <v/>
      </c>
      <c r="AE33" s="12">
        <f>IF($B33="","",MAX(0,M33-Z33-AC33-AD33))</f>
        <v/>
      </c>
      <c r="AF33" s="12">
        <f>IF($B33="","",MAX(0,ROUND(AE33*INDEX(TramosFactor,SUMPRODUCT((TramosHasta&lt;AE33)*1)+1)-INDEX(TramosRebaja,SUMPRODUCT((TramosHasta&lt;AE33)*1)+1)*ValorUTM,0)))</f>
        <v/>
      </c>
      <c r="AG33" s="12">
        <f>IF($B33="","",ROUND(MAX(0,K33),0)+ROUND(MAX(0,L33),0))</f>
        <v/>
      </c>
      <c r="AH33" s="12">
        <f>IF($B33="","",ROUND(X33*SSCuenta,0)+ROUND(X33*SSRentabilidad,0)+ROUND(X33*SSInvalidez,0)+ROUND(X33*SSExpectativa,0))</f>
        <v/>
      </c>
      <c r="AI33" s="12">
        <f>IF($B33="","",ROUND(Y33*IFERROR(VLOOKUP(C33,TablaCesantia,3,FALSE),INDEX(CesantiaEmpleador,1)),0))</f>
        <v/>
      </c>
      <c r="AJ33" s="12">
        <f>IF($B33="","",ROUND(X33*(AccidentesBasica+MIN(0.1,MAX(0,$B$3))),0))</f>
        <v/>
      </c>
    </row>
    <row r="34">
      <c r="A34" s="8" t="n"/>
      <c r="B34" s="7" t="n"/>
      <c r="C34" s="8" t="n"/>
      <c r="D34" s="8" t="n"/>
      <c r="E34" s="8" t="n"/>
      <c r="F34" s="9" t="n"/>
      <c r="G34" s="8" t="n"/>
      <c r="H34" s="8" t="n"/>
      <c r="I34" s="8" t="n"/>
      <c r="J34" s="7" t="n"/>
      <c r="K34" s="7" t="n"/>
      <c r="L34" s="7" t="n"/>
      <c r="M34" s="33">
        <f>IF($B34="","",S34+U34+V34+W34)</f>
        <v/>
      </c>
      <c r="N34" s="33">
        <f>IF($B34="","",Z34+AB34+AD34+AF34)</f>
        <v/>
      </c>
      <c r="O34" s="34">
        <f>IF($B34="","",M34+AG34-N34)</f>
        <v/>
      </c>
      <c r="P34" s="34">
        <f>IF($B34="","",M34+AG34+AH34+AI34+AJ34)</f>
        <v/>
      </c>
      <c r="Q34">
        <f>IF($B34="","",MIN(JornadaMaxima,MAX(1,IF(MAX(0,I34)=0,JornadaMaxima,MAX(0,I34)))))</f>
        <v/>
      </c>
      <c r="R34" s="12">
        <f>IF($B34="","",IF(Q34&gt;=JornadaMaxima,IngresoMinimo,ROUND(IngresoMinimo*Q34/JornadaMaxima,0)))</f>
        <v/>
      </c>
      <c r="S34" s="12">
        <f>IF($B34="","",ROUND(MAX(0,B34),0))</f>
        <v/>
      </c>
      <c r="T34" s="13">
        <f>IF($B34="","",MAX(S34,R34)/30*28/(Q34*4)*(1+RecargoHE))</f>
        <v/>
      </c>
      <c r="U34" s="12">
        <f>IF($B34="","",ROUND(T34*MAX(0,H34),0))</f>
        <v/>
      </c>
      <c r="V34" s="12">
        <f>IF($B34="","",ROUND(MAX(0,J34),0))</f>
        <v/>
      </c>
      <c r="W34" s="12">
        <f>IF($B34="","",IF(G34="Sí",MIN(ROUND(GratTasa*(S34+U34+V34),0),TopeGratificacion),0))</f>
        <v/>
      </c>
      <c r="X34" s="12">
        <f>IF($B34="","",MIN(M34,TopeImponible))</f>
        <v/>
      </c>
      <c r="Y34" s="12">
        <f>IF($B34="","",MIN(M34,TopeCesantia))</f>
        <v/>
      </c>
      <c r="Z34" s="12">
        <f>IF($B34="","",ROUND(X34*(CotizacionAFP+IFERROR(VLOOKUP(D34,TablaAFP,2,FALSE),INDEX(ComisionesAFP,1))),0))</f>
        <v/>
      </c>
      <c r="AA34" s="12">
        <f>IF($B34="","",ROUND(X34*TasaSalud,0))</f>
        <v/>
      </c>
      <c r="AB34" s="12">
        <f>IF($B34="","",MAX(AA34,IF(E34="Isapre",ROUND(MAX(0,F34)*ValorUF,0),0)))</f>
        <v/>
      </c>
      <c r="AC34" s="12">
        <f>IF($B34="","",MIN(AB34,ROUND(TopeImponible*TasaSalud,0)))</f>
        <v/>
      </c>
      <c r="AD34" s="12">
        <f>IF($B34="","",ROUND(Y34*IFERROR(VLOOKUP(C34,TablaCesantia,2,FALSE),INDEX(CesantiaTrabajador,1)),0))</f>
        <v/>
      </c>
      <c r="AE34" s="12">
        <f>IF($B34="","",MAX(0,M34-Z34-AC34-AD34))</f>
        <v/>
      </c>
      <c r="AF34" s="12">
        <f>IF($B34="","",MAX(0,ROUND(AE34*INDEX(TramosFactor,SUMPRODUCT((TramosHasta&lt;AE34)*1)+1)-INDEX(TramosRebaja,SUMPRODUCT((TramosHasta&lt;AE34)*1)+1)*ValorUTM,0)))</f>
        <v/>
      </c>
      <c r="AG34" s="12">
        <f>IF($B34="","",ROUND(MAX(0,K34),0)+ROUND(MAX(0,L34),0))</f>
        <v/>
      </c>
      <c r="AH34" s="12">
        <f>IF($B34="","",ROUND(X34*SSCuenta,0)+ROUND(X34*SSRentabilidad,0)+ROUND(X34*SSInvalidez,0)+ROUND(X34*SSExpectativa,0))</f>
        <v/>
      </c>
      <c r="AI34" s="12">
        <f>IF($B34="","",ROUND(Y34*IFERROR(VLOOKUP(C34,TablaCesantia,3,FALSE),INDEX(CesantiaEmpleador,1)),0))</f>
        <v/>
      </c>
      <c r="AJ34" s="12">
        <f>IF($B34="","",ROUND(X34*(AccidentesBasica+MIN(0.1,MAX(0,$B$3))),0))</f>
        <v/>
      </c>
    </row>
    <row r="35">
      <c r="A35" s="8" t="n"/>
      <c r="B35" s="7" t="n"/>
      <c r="C35" s="8" t="n"/>
      <c r="D35" s="8" t="n"/>
      <c r="E35" s="8" t="n"/>
      <c r="F35" s="9" t="n"/>
      <c r="G35" s="8" t="n"/>
      <c r="H35" s="8" t="n"/>
      <c r="I35" s="8" t="n"/>
      <c r="J35" s="7" t="n"/>
      <c r="K35" s="7" t="n"/>
      <c r="L35" s="7" t="n"/>
      <c r="M35" s="33">
        <f>IF($B35="","",S35+U35+V35+W35)</f>
        <v/>
      </c>
      <c r="N35" s="33">
        <f>IF($B35="","",Z35+AB35+AD35+AF35)</f>
        <v/>
      </c>
      <c r="O35" s="34">
        <f>IF($B35="","",M35+AG35-N35)</f>
        <v/>
      </c>
      <c r="P35" s="34">
        <f>IF($B35="","",M35+AG35+AH35+AI35+AJ35)</f>
        <v/>
      </c>
      <c r="Q35">
        <f>IF($B35="","",MIN(JornadaMaxima,MAX(1,IF(MAX(0,I35)=0,JornadaMaxima,MAX(0,I35)))))</f>
        <v/>
      </c>
      <c r="R35" s="12">
        <f>IF($B35="","",IF(Q35&gt;=JornadaMaxima,IngresoMinimo,ROUND(IngresoMinimo*Q35/JornadaMaxima,0)))</f>
        <v/>
      </c>
      <c r="S35" s="12">
        <f>IF($B35="","",ROUND(MAX(0,B35),0))</f>
        <v/>
      </c>
      <c r="T35" s="13">
        <f>IF($B35="","",MAX(S35,R35)/30*28/(Q35*4)*(1+RecargoHE))</f>
        <v/>
      </c>
      <c r="U35" s="12">
        <f>IF($B35="","",ROUND(T35*MAX(0,H35),0))</f>
        <v/>
      </c>
      <c r="V35" s="12">
        <f>IF($B35="","",ROUND(MAX(0,J35),0))</f>
        <v/>
      </c>
      <c r="W35" s="12">
        <f>IF($B35="","",IF(G35="Sí",MIN(ROUND(GratTasa*(S35+U35+V35),0),TopeGratificacion),0))</f>
        <v/>
      </c>
      <c r="X35" s="12">
        <f>IF($B35="","",MIN(M35,TopeImponible))</f>
        <v/>
      </c>
      <c r="Y35" s="12">
        <f>IF($B35="","",MIN(M35,TopeCesantia))</f>
        <v/>
      </c>
      <c r="Z35" s="12">
        <f>IF($B35="","",ROUND(X35*(CotizacionAFP+IFERROR(VLOOKUP(D35,TablaAFP,2,FALSE),INDEX(ComisionesAFP,1))),0))</f>
        <v/>
      </c>
      <c r="AA35" s="12">
        <f>IF($B35="","",ROUND(X35*TasaSalud,0))</f>
        <v/>
      </c>
      <c r="AB35" s="12">
        <f>IF($B35="","",MAX(AA35,IF(E35="Isapre",ROUND(MAX(0,F35)*ValorUF,0),0)))</f>
        <v/>
      </c>
      <c r="AC35" s="12">
        <f>IF($B35="","",MIN(AB35,ROUND(TopeImponible*TasaSalud,0)))</f>
        <v/>
      </c>
      <c r="AD35" s="12">
        <f>IF($B35="","",ROUND(Y35*IFERROR(VLOOKUP(C35,TablaCesantia,2,FALSE),INDEX(CesantiaTrabajador,1)),0))</f>
        <v/>
      </c>
      <c r="AE35" s="12">
        <f>IF($B35="","",MAX(0,M35-Z35-AC35-AD35))</f>
        <v/>
      </c>
      <c r="AF35" s="12">
        <f>IF($B35="","",MAX(0,ROUND(AE35*INDEX(TramosFactor,SUMPRODUCT((TramosHasta&lt;AE35)*1)+1)-INDEX(TramosRebaja,SUMPRODUCT((TramosHasta&lt;AE35)*1)+1)*ValorUTM,0)))</f>
        <v/>
      </c>
      <c r="AG35" s="12">
        <f>IF($B35="","",ROUND(MAX(0,K35),0)+ROUND(MAX(0,L35),0))</f>
        <v/>
      </c>
      <c r="AH35" s="12">
        <f>IF($B35="","",ROUND(X35*SSCuenta,0)+ROUND(X35*SSRentabilidad,0)+ROUND(X35*SSInvalidez,0)+ROUND(X35*SSExpectativa,0))</f>
        <v/>
      </c>
      <c r="AI35" s="12">
        <f>IF($B35="","",ROUND(Y35*IFERROR(VLOOKUP(C35,TablaCesantia,3,FALSE),INDEX(CesantiaEmpleador,1)),0))</f>
        <v/>
      </c>
      <c r="AJ35" s="12">
        <f>IF($B35="","",ROUND(X35*(AccidentesBasica+MIN(0.1,MAX(0,$B$3))),0))</f>
        <v/>
      </c>
    </row>
    <row r="36">
      <c r="A36" s="8" t="n"/>
      <c r="B36" s="7" t="n"/>
      <c r="C36" s="8" t="n"/>
      <c r="D36" s="8" t="n"/>
      <c r="E36" s="8" t="n"/>
      <c r="F36" s="9" t="n"/>
      <c r="G36" s="8" t="n"/>
      <c r="H36" s="8" t="n"/>
      <c r="I36" s="8" t="n"/>
      <c r="J36" s="7" t="n"/>
      <c r="K36" s="7" t="n"/>
      <c r="L36" s="7" t="n"/>
      <c r="M36" s="33">
        <f>IF($B36="","",S36+U36+V36+W36)</f>
        <v/>
      </c>
      <c r="N36" s="33">
        <f>IF($B36="","",Z36+AB36+AD36+AF36)</f>
        <v/>
      </c>
      <c r="O36" s="34">
        <f>IF($B36="","",M36+AG36-N36)</f>
        <v/>
      </c>
      <c r="P36" s="34">
        <f>IF($B36="","",M36+AG36+AH36+AI36+AJ36)</f>
        <v/>
      </c>
      <c r="Q36">
        <f>IF($B36="","",MIN(JornadaMaxima,MAX(1,IF(MAX(0,I36)=0,JornadaMaxima,MAX(0,I36)))))</f>
        <v/>
      </c>
      <c r="R36" s="12">
        <f>IF($B36="","",IF(Q36&gt;=JornadaMaxima,IngresoMinimo,ROUND(IngresoMinimo*Q36/JornadaMaxima,0)))</f>
        <v/>
      </c>
      <c r="S36" s="12">
        <f>IF($B36="","",ROUND(MAX(0,B36),0))</f>
        <v/>
      </c>
      <c r="T36" s="13">
        <f>IF($B36="","",MAX(S36,R36)/30*28/(Q36*4)*(1+RecargoHE))</f>
        <v/>
      </c>
      <c r="U36" s="12">
        <f>IF($B36="","",ROUND(T36*MAX(0,H36),0))</f>
        <v/>
      </c>
      <c r="V36" s="12">
        <f>IF($B36="","",ROUND(MAX(0,J36),0))</f>
        <v/>
      </c>
      <c r="W36" s="12">
        <f>IF($B36="","",IF(G36="Sí",MIN(ROUND(GratTasa*(S36+U36+V36),0),TopeGratificacion),0))</f>
        <v/>
      </c>
      <c r="X36" s="12">
        <f>IF($B36="","",MIN(M36,TopeImponible))</f>
        <v/>
      </c>
      <c r="Y36" s="12">
        <f>IF($B36="","",MIN(M36,TopeCesantia))</f>
        <v/>
      </c>
      <c r="Z36" s="12">
        <f>IF($B36="","",ROUND(X36*(CotizacionAFP+IFERROR(VLOOKUP(D36,TablaAFP,2,FALSE),INDEX(ComisionesAFP,1))),0))</f>
        <v/>
      </c>
      <c r="AA36" s="12">
        <f>IF($B36="","",ROUND(X36*TasaSalud,0))</f>
        <v/>
      </c>
      <c r="AB36" s="12">
        <f>IF($B36="","",MAX(AA36,IF(E36="Isapre",ROUND(MAX(0,F36)*ValorUF,0),0)))</f>
        <v/>
      </c>
      <c r="AC36" s="12">
        <f>IF($B36="","",MIN(AB36,ROUND(TopeImponible*TasaSalud,0)))</f>
        <v/>
      </c>
      <c r="AD36" s="12">
        <f>IF($B36="","",ROUND(Y36*IFERROR(VLOOKUP(C36,TablaCesantia,2,FALSE),INDEX(CesantiaTrabajador,1)),0))</f>
        <v/>
      </c>
      <c r="AE36" s="12">
        <f>IF($B36="","",MAX(0,M36-Z36-AC36-AD36))</f>
        <v/>
      </c>
      <c r="AF36" s="12">
        <f>IF($B36="","",MAX(0,ROUND(AE36*INDEX(TramosFactor,SUMPRODUCT((TramosHasta&lt;AE36)*1)+1)-INDEX(TramosRebaja,SUMPRODUCT((TramosHasta&lt;AE36)*1)+1)*ValorUTM,0)))</f>
        <v/>
      </c>
      <c r="AG36" s="12">
        <f>IF($B36="","",ROUND(MAX(0,K36),0)+ROUND(MAX(0,L36),0))</f>
        <v/>
      </c>
      <c r="AH36" s="12">
        <f>IF($B36="","",ROUND(X36*SSCuenta,0)+ROUND(X36*SSRentabilidad,0)+ROUND(X36*SSInvalidez,0)+ROUND(X36*SSExpectativa,0))</f>
        <v/>
      </c>
      <c r="AI36" s="12">
        <f>IF($B36="","",ROUND(Y36*IFERROR(VLOOKUP(C36,TablaCesantia,3,FALSE),INDEX(CesantiaEmpleador,1)),0))</f>
        <v/>
      </c>
      <c r="AJ36" s="12">
        <f>IF($B36="","",ROUND(X36*(AccidentesBasica+MIN(0.1,MAX(0,$B$3))),0))</f>
        <v/>
      </c>
    </row>
    <row r="37">
      <c r="A37" s="15" t="inlineStr">
        <is>
          <t>Total del mes</t>
        </is>
      </c>
      <c r="B37" s="16">
        <f>SUM(B7:B36)</f>
        <v/>
      </c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6">
        <f>SUM(M7:M36)</f>
        <v/>
      </c>
      <c r="N37" s="16">
        <f>SUM(N7:N36)</f>
        <v/>
      </c>
      <c r="O37" s="16">
        <f>SUM(O7:O36)</f>
        <v/>
      </c>
      <c r="P37" s="16">
        <f>SUM(P7:P36)</f>
        <v/>
      </c>
      <c r="Q37" s="15" t="n"/>
      <c r="R37" s="15" t="n"/>
      <c r="S37" s="16">
        <f>SUM(S7:S36)</f>
        <v/>
      </c>
      <c r="T37" s="15" t="n"/>
      <c r="U37" s="16">
        <f>SUM(U7:U36)</f>
        <v/>
      </c>
      <c r="V37" s="16">
        <f>SUM(V7:V36)</f>
        <v/>
      </c>
      <c r="W37" s="16">
        <f>SUM(W7:W36)</f>
        <v/>
      </c>
      <c r="X37" s="15" t="n"/>
      <c r="Y37" s="15" t="n"/>
      <c r="Z37" s="16">
        <f>SUM(Z7:Z36)</f>
        <v/>
      </c>
      <c r="AA37" s="16">
        <f>SUM(AA7:AA36)</f>
        <v/>
      </c>
      <c r="AB37" s="16">
        <f>SUM(AB7:AB36)</f>
        <v/>
      </c>
      <c r="AC37" s="15" t="n"/>
      <c r="AD37" s="16">
        <f>SUM(AD7:AD36)</f>
        <v/>
      </c>
      <c r="AE37" s="16">
        <f>SUM(AE7:AE36)</f>
        <v/>
      </c>
      <c r="AF37" s="16">
        <f>SUM(AF7:AF36)</f>
        <v/>
      </c>
      <c r="AG37" s="16">
        <f>SUM(AG7:AG36)</f>
        <v/>
      </c>
      <c r="AH37" s="16">
        <f>SUM(AH7:AH36)</f>
        <v/>
      </c>
      <c r="AI37" s="16">
        <f>SUM(AI7:AI36)</f>
        <v/>
      </c>
      <c r="AJ37" s="16">
        <f>SUM(AJ7:AJ36)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2:P2"/>
  </mergeCells>
  <dataValidations count="12">
    <dataValidation sqref="B3" showDropDown="0" showInputMessage="0" showErrorMessage="1" allowBlank="1" error="Escribe una tasa entre 0% y 10%." type="decimal" operator="between">
      <formula1>0</formula1>
      <formula2>0.1</formula2>
    </dataValidation>
    <dataValidation sqref="C7:C36" showDropDown="0" showInputMessage="0" showErrorMessage="1" allowBlank="1" errorTitle="Contrato" error="Elige una opción de la lista." type="list">
      <formula1>"Indefinido,Plazo fijo u obra,Indefinido (11 años o más)"</formula1>
    </dataValidation>
    <dataValidation sqref="D7:D36" showDropDown="0" showInputMessage="0" showErrorMessage="1" allowBlank="1" errorTitle="AFP" error="Elige una opción de la lista." type="list">
      <formula1>"Uno,Modelo,PlanVital,Habitat,Capital,Cuprum,ProVida"</formula1>
    </dataValidation>
    <dataValidation sqref="E7:E36" showDropDown="0" showInputMessage="0" showErrorMessage="1" allowBlank="1" errorTitle="Salud" error="Elige una opción de la lista." type="list">
      <formula1>"Fonasa,Isapre"</formula1>
    </dataValidation>
    <dataValidation sqref="G7:G36" showDropDown="0" showInputMessage="0" showErrorMessage="1" allowBlank="1" errorTitle="Gratificación legal" error="Elige una opción de la lista." type="list">
      <formula1>"Sí,No"</formula1>
    </dataValidation>
    <dataValidation sqref="B7:B36" showDropDown="0" showInputMessage="0" showErrorMessage="1" allowBlank="1" error="Escribe un número mayor o igual que cero." type="decimal" operator="greaterThanOrEqual">
      <formula1>0</formula1>
    </dataValidation>
    <dataValidation sqref="F7:F36" showDropDown="0" showInputMessage="0" showErrorMessage="1" allowBlank="1" error="Escribe un número mayor o igual que cero." type="decimal" operator="greaterThanOrEqual">
      <formula1>0</formula1>
    </dataValidation>
    <dataValidation sqref="H7:H36" showDropDown="0" showInputMessage="0" showErrorMessage="1" allowBlank="1" error="Escribe un número mayor o igual que cero." type="decimal" operator="greaterThanOrEqual">
      <formula1>0</formula1>
    </dataValidation>
    <dataValidation sqref="J7:J36" showDropDown="0" showInputMessage="0" showErrorMessage="1" allowBlank="1" error="Escribe un número mayor o igual que cero." type="decimal" operator="greaterThanOrEqual">
      <formula1>0</formula1>
    </dataValidation>
    <dataValidation sqref="K7:K36" showDropDown="0" showInputMessage="0" showErrorMessage="1" allowBlank="1" error="Escribe un número mayor o igual que cero." type="decimal" operator="greaterThanOrEqual">
      <formula1>0</formula1>
    </dataValidation>
    <dataValidation sqref="L7:L36" showDropDown="0" showInputMessage="0" showErrorMessage="1" allowBlank="1" error="Escribe un número mayor o igual que cero." type="decimal" operator="greaterThanOrEqual">
      <formula1>0</formula1>
    </dataValidation>
    <dataValidation sqref="I7:I36" showDropDown="0" showInputMessage="0" showErrorMessage="1" allowBlank="1" error="Escribe las horas a la semana (la completa es la de «Indicadores»)." type="decimal" operator="between">
      <formula1>1</formula1>
      <formula2>168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Indicadores de octubre de 2026</t>
        </is>
      </c>
    </row>
    <row r="2" ht="30" customHeight="1">
      <c r="A2" s="2" t="inlineStr">
        <is>
          <t>Cada mes cambian la UF, la UTM y la tabla del impuesto único: escribe aquí las del mes. Las celdas con fondo amarillo claro son las que se pueden cambiar.</t>
        </is>
      </c>
    </row>
    <row r="4">
      <c r="A4" s="5" t="inlineStr">
        <is>
          <t>Valores del mes</t>
        </is>
      </c>
      <c r="B4" s="6" t="n"/>
      <c r="C4" s="6" t="n"/>
      <c r="D4" s="6" t="n"/>
      <c r="E4" s="6" t="n"/>
      <c r="F4" s="6" t="n"/>
      <c r="G4" s="6" t="n"/>
      <c r="H4" s="6" t="n"/>
    </row>
    <row r="5">
      <c r="A5" t="inlineStr">
        <is>
          <t>UF (último día del mes)</t>
        </is>
      </c>
      <c r="B5" s="35" t="n">
        <v>41247.63</v>
      </c>
      <c r="C5" s="3" t="inlineStr">
        <is>
          <t>Previred: la UF de los topes del mes.</t>
        </is>
      </c>
    </row>
    <row r="6">
      <c r="A6" t="inlineStr">
        <is>
          <t>UTM</t>
        </is>
      </c>
      <c r="B6" s="7" t="n">
        <v>72151</v>
      </c>
      <c r="C6" s="3" t="inlineStr">
        <is>
          <t>SII.</t>
        </is>
      </c>
    </row>
    <row r="7">
      <c r="A7" t="inlineStr">
        <is>
          <t>Ingreso mínimo mensual</t>
        </is>
      </c>
      <c r="B7" s="7" t="n">
        <v>553553</v>
      </c>
      <c r="C7" s="3" t="inlineStr">
        <is>
          <t>Jornada completa.</t>
        </is>
      </c>
    </row>
    <row r="9">
      <c r="A9" s="5" t="inlineStr">
        <is>
          <t>Topes imponibles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A10" t="inlineStr">
        <is>
          <t>Tope de AFP, salud, aporte del empleador y accidentes (UF)</t>
        </is>
      </c>
      <c r="B10" s="36" t="n">
        <v>90</v>
      </c>
    </row>
    <row r="11">
      <c r="A11" t="inlineStr">
        <is>
          <t>Tope del seguro de cesantía (UF)</t>
        </is>
      </c>
      <c r="B11" s="36" t="n">
        <v>135.2</v>
      </c>
    </row>
    <row r="12">
      <c r="A12" t="inlineStr">
        <is>
          <t>Tope de AFP, salud, aporte del empleador y accidentes ($)</t>
        </is>
      </c>
      <c r="B12" s="12">
        <f>ROUND(TopeImponibleUF*ValorUF,0)</f>
        <v/>
      </c>
      <c r="C12" s="3" t="inlineStr">
        <is>
          <t>UF del tope por la UF del mes.</t>
        </is>
      </c>
    </row>
    <row r="13">
      <c r="A13" t="inlineStr">
        <is>
          <t>Tope del seguro de cesantía ($)</t>
        </is>
      </c>
      <c r="B13" s="12">
        <f>ROUND(TopeCesantiaUF*ValorUF,0)</f>
        <v/>
      </c>
    </row>
    <row r="15">
      <c r="A15" s="5" t="inlineStr">
        <is>
          <t>Cotizaciones del trabajador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t="inlineStr">
        <is>
          <t>Cotización obligatoria de la AFP</t>
        </is>
      </c>
      <c r="B16" s="11" t="n">
        <v>0.1</v>
      </c>
      <c r="C16" s="3" t="inlineStr">
        <is>
          <t>Más la comisión de cada AFP.</t>
        </is>
      </c>
    </row>
    <row r="17">
      <c r="A17" t="inlineStr">
        <is>
          <t>Salud (cotización legal)</t>
        </is>
      </c>
      <c r="B17" s="11" t="n">
        <v>0.07000000000000001</v>
      </c>
      <c r="C17" s="3" t="inlineStr">
        <is>
          <t>Con Isapre se paga el plan si es mayor.</t>
        </is>
      </c>
    </row>
    <row r="18">
      <c r="A18" s="37" t="inlineStr">
        <is>
          <t>AFP</t>
        </is>
      </c>
      <c r="B18" s="38" t="inlineStr">
        <is>
          <t>Comisión</t>
        </is>
      </c>
      <c r="C18" s="38" t="inlineStr">
        <is>
          <t>Total del trabajador</t>
        </is>
      </c>
    </row>
    <row r="19">
      <c r="A19" t="inlineStr">
        <is>
          <t>Uno</t>
        </is>
      </c>
      <c r="B19" s="11" t="n">
        <v>0.0046</v>
      </c>
      <c r="C19" s="27">
        <f>CotizacionAFP+B19</f>
        <v/>
      </c>
    </row>
    <row r="20">
      <c r="A20" t="inlineStr">
        <is>
          <t>Modelo</t>
        </is>
      </c>
      <c r="B20" s="11" t="n">
        <v>0.0058</v>
      </c>
      <c r="C20" s="27">
        <f>CotizacionAFP+B20</f>
        <v/>
      </c>
    </row>
    <row r="21">
      <c r="A21" t="inlineStr">
        <is>
          <t>PlanVital</t>
        </is>
      </c>
      <c r="B21" s="11" t="n">
        <v>0.0116</v>
      </c>
      <c r="C21" s="27">
        <f>CotizacionAFP+B21</f>
        <v/>
      </c>
    </row>
    <row r="22">
      <c r="A22" t="inlineStr">
        <is>
          <t>Habitat</t>
        </is>
      </c>
      <c r="B22" s="11" t="n">
        <v>0.0127</v>
      </c>
      <c r="C22" s="27">
        <f>CotizacionAFP+B22</f>
        <v/>
      </c>
    </row>
    <row r="23">
      <c r="A23" t="inlineStr">
        <is>
          <t>Capital</t>
        </is>
      </c>
      <c r="B23" s="11" t="n">
        <v>0.0144</v>
      </c>
      <c r="C23" s="27">
        <f>CotizacionAFP+B23</f>
        <v/>
      </c>
    </row>
    <row r="24">
      <c r="A24" t="inlineStr">
        <is>
          <t>Cuprum</t>
        </is>
      </c>
      <c r="B24" s="11" t="n">
        <v>0.0144</v>
      </c>
      <c r="C24" s="27">
        <f>CotizacionAFP+B24</f>
        <v/>
      </c>
    </row>
    <row r="25">
      <c r="A25" t="inlineStr">
        <is>
          <t>ProVida</t>
        </is>
      </c>
      <c r="B25" s="11" t="n">
        <v>0.0145</v>
      </c>
      <c r="C25" s="27">
        <f>CotizacionAFP+B25</f>
        <v/>
      </c>
    </row>
    <row r="27">
      <c r="A27" s="5" t="inlineStr">
        <is>
          <t>Seguro de cesantía</t>
        </is>
      </c>
      <c r="B27" s="6" t="n"/>
      <c r="C27" s="6" t="n"/>
      <c r="D27" s="6" t="n"/>
      <c r="E27" s="6" t="n"/>
      <c r="F27" s="6" t="n"/>
      <c r="G27" s="6" t="n"/>
      <c r="H27" s="6" t="n"/>
    </row>
    <row r="28">
      <c r="A28" s="37" t="inlineStr">
        <is>
          <t>Contrato</t>
        </is>
      </c>
      <c r="B28" s="38" t="inlineStr">
        <is>
          <t>Trabajador</t>
        </is>
      </c>
      <c r="C28" s="38" t="inlineStr">
        <is>
          <t>Empleador</t>
        </is>
      </c>
    </row>
    <row r="29">
      <c r="A29" t="inlineStr">
        <is>
          <t>Indefinido</t>
        </is>
      </c>
      <c r="B29" s="39" t="n">
        <v>0.006</v>
      </c>
      <c r="C29" s="39" t="n">
        <v>0.024</v>
      </c>
    </row>
    <row r="30">
      <c r="A30" t="inlineStr">
        <is>
          <t>Plazo fijo u obra</t>
        </is>
      </c>
      <c r="B30" s="39" t="n">
        <v>0</v>
      </c>
      <c r="C30" s="39" t="n">
        <v>0.03</v>
      </c>
    </row>
    <row r="31">
      <c r="A31" t="inlineStr">
        <is>
          <t>Indefinido (11 años o más)</t>
        </is>
      </c>
      <c r="B31" s="39" t="n">
        <v>0</v>
      </c>
      <c r="C31" s="39" t="n">
        <v>0.008</v>
      </c>
    </row>
    <row r="33">
      <c r="A33" s="5" t="inlineStr">
        <is>
          <t>Aportes del empleador</t>
        </is>
      </c>
      <c r="B33" s="6" t="n"/>
      <c r="C33" s="6" t="n"/>
      <c r="D33" s="6" t="n"/>
      <c r="E33" s="6" t="n"/>
      <c r="F33" s="6" t="n"/>
      <c r="G33" s="6" t="n"/>
      <c r="H33" s="6" t="n"/>
    </row>
    <row r="34">
      <c r="A34" t="inlineStr">
        <is>
          <t>Aporte del empleador: a la cuenta de la AFP del trabajador</t>
        </is>
      </c>
      <c r="B34" s="11" t="n">
        <v>0.001</v>
      </c>
    </row>
    <row r="35">
      <c r="A35" t="inlineStr">
        <is>
          <t>Aporte del empleador: rentabilidad protegida</t>
        </is>
      </c>
      <c r="B35" s="11" t="n">
        <v>0.008999999999999999</v>
      </c>
    </row>
    <row r="36">
      <c r="A36" t="inlineStr">
        <is>
          <t>Aporte del empleador, Seguro Social: invalidez y sobrevivencia</t>
        </is>
      </c>
      <c r="B36" s="11" t="n">
        <v>0.0178</v>
      </c>
    </row>
    <row r="37">
      <c r="A37" t="inlineStr">
        <is>
          <t>Aporte del empleador, Seguro Social: expectativa de vida</t>
        </is>
      </c>
      <c r="B37" s="11" t="n">
        <v>0.0072</v>
      </c>
    </row>
    <row r="38">
      <c r="A38" t="inlineStr">
        <is>
          <t>Aporte del empleador (total)</t>
        </is>
      </c>
      <c r="B38" s="27">
        <f>SSCuenta+SSRentabilidad+SSInvalidez+SSExpectativa</f>
        <v/>
      </c>
      <c r="C38" s="3" t="inlineStr">
        <is>
          <t>Sube a 4,25% en agosto de 2027 y a 5% en agosto de 2028.</t>
        </is>
      </c>
    </row>
    <row r="39">
      <c r="A39" t="inlineStr">
        <is>
          <t>Seguro de accidentes: tasa básica</t>
        </is>
      </c>
      <c r="B39" s="11" t="n">
        <v>0.009299999999999999</v>
      </c>
      <c r="C39" s="3" t="inlineStr">
        <is>
          <t>La adicional de tu mutual se escribe en «Liquidación» y en «Equipo».</t>
        </is>
      </c>
    </row>
    <row r="41">
      <c r="A41" s="5" t="inlineStr">
        <is>
          <t>Gratificación, jornada y horas extra</t>
        </is>
      </c>
      <c r="B41" s="6" t="n"/>
      <c r="C41" s="6" t="n"/>
      <c r="D41" s="6" t="n"/>
      <c r="E41" s="6" t="n"/>
      <c r="F41" s="6" t="n"/>
      <c r="G41" s="6" t="n"/>
      <c r="H41" s="6" t="n"/>
    </row>
    <row r="42">
      <c r="A42" t="inlineStr">
        <is>
          <t>Gratificación legal (parte de lo imponible)</t>
        </is>
      </c>
      <c r="B42" s="39" t="n">
        <v>0.25</v>
      </c>
    </row>
    <row r="43">
      <c r="A43" t="inlineStr">
        <is>
          <t>Tope de la gratificación (ingresos mínimos al año)</t>
        </is>
      </c>
      <c r="B43" s="36" t="n">
        <v>4.75</v>
      </c>
    </row>
    <row r="44">
      <c r="A44" t="inlineStr">
        <is>
          <t>Tope mensual de la gratificación</t>
        </is>
      </c>
      <c r="B44" s="12">
        <f>ROUND(GratTopeIMM*IngresoMinimo/12,0)</f>
        <v/>
      </c>
      <c r="C44" s="3" t="inlineStr">
        <is>
          <t>Tope anual dividido en 12.</t>
        </is>
      </c>
    </row>
    <row r="45">
      <c r="A45" t="inlineStr">
        <is>
          <t>Jornada ordinaria máxima (horas a la semana)</t>
        </is>
      </c>
      <c r="B45" s="10" t="n">
        <v>42</v>
      </c>
    </row>
    <row r="46">
      <c r="A46" t="inlineStr">
        <is>
          <t>Recargo de las horas extra</t>
        </is>
      </c>
      <c r="B46" s="40" t="n">
        <v>0.5</v>
      </c>
    </row>
    <row r="48">
      <c r="A48" s="5" t="inlineStr">
        <is>
          <t>Impuesto único de segunda categoría (mensual)</t>
        </is>
      </c>
      <c r="B48" s="6" t="n"/>
      <c r="C48" s="6" t="n"/>
      <c r="D48" s="6" t="n"/>
      <c r="E48" s="6" t="n"/>
      <c r="F48" s="6" t="n"/>
      <c r="G48" s="6" t="n"/>
      <c r="H48" s="6" t="n"/>
    </row>
    <row r="49" ht="30" customHeight="1">
      <c r="A49" s="37" t="inlineStr"/>
      <c r="B49" s="38" t="inlineStr">
        <is>
          <t>Más de (UTM)</t>
        </is>
      </c>
      <c r="C49" s="38" t="inlineStr">
        <is>
          <t>Hasta (UTM)</t>
        </is>
      </c>
      <c r="D49" s="38" t="inlineStr">
        <is>
          <t>Factor</t>
        </is>
      </c>
      <c r="E49" s="38" t="inlineStr">
        <is>
          <t>Cantidad a rebajar (UTM)</t>
        </is>
      </c>
      <c r="F49" s="38" t="inlineStr">
        <is>
          <t>Más de ($)</t>
        </is>
      </c>
      <c r="G49" s="38" t="inlineStr">
        <is>
          <t>Hasta ($)</t>
        </is>
      </c>
      <c r="H49" s="38" t="inlineStr">
        <is>
          <t>Cantidad a rebajar ($)</t>
        </is>
      </c>
    </row>
    <row r="50">
      <c r="A50" t="inlineStr">
        <is>
          <t>Tramo 1</t>
        </is>
      </c>
      <c r="B50" s="41" t="n">
        <v>0</v>
      </c>
      <c r="C50" s="42" t="n">
        <v>13.5</v>
      </c>
      <c r="D50" s="39" t="n">
        <v>0</v>
      </c>
      <c r="E50" s="36" t="n">
        <v>0</v>
      </c>
      <c r="F50" s="13">
        <f>B50*ValorUTM</f>
        <v/>
      </c>
      <c r="G50" s="43">
        <f>C50*ValorUTM</f>
        <v/>
      </c>
      <c r="H50" s="13">
        <f>E50*ValorUTM</f>
        <v/>
      </c>
    </row>
    <row r="51">
      <c r="A51" t="inlineStr">
        <is>
          <t>Tramo 2</t>
        </is>
      </c>
      <c r="B51" s="41">
        <f>C50</f>
        <v/>
      </c>
      <c r="C51" s="42" t="n">
        <v>30</v>
      </c>
      <c r="D51" s="39" t="n">
        <v>0.04</v>
      </c>
      <c r="E51" s="36" t="n">
        <v>0.54</v>
      </c>
      <c r="F51" s="13">
        <f>B51*ValorUTM</f>
        <v/>
      </c>
      <c r="G51" s="43">
        <f>C51*ValorUTM</f>
        <v/>
      </c>
      <c r="H51" s="13">
        <f>E51*ValorUTM</f>
        <v/>
      </c>
    </row>
    <row r="52">
      <c r="A52" t="inlineStr">
        <is>
          <t>Tramo 3</t>
        </is>
      </c>
      <c r="B52" s="41">
        <f>C51</f>
        <v/>
      </c>
      <c r="C52" s="42" t="n">
        <v>50</v>
      </c>
      <c r="D52" s="39" t="n">
        <v>0.08</v>
      </c>
      <c r="E52" s="36" t="n">
        <v>1.74</v>
      </c>
      <c r="F52" s="13">
        <f>B52*ValorUTM</f>
        <v/>
      </c>
      <c r="G52" s="43">
        <f>C52*ValorUTM</f>
        <v/>
      </c>
      <c r="H52" s="13">
        <f>E52*ValorUTM</f>
        <v/>
      </c>
    </row>
    <row r="53">
      <c r="A53" t="inlineStr">
        <is>
          <t>Tramo 4</t>
        </is>
      </c>
      <c r="B53" s="41">
        <f>C52</f>
        <v/>
      </c>
      <c r="C53" s="42" t="n">
        <v>70</v>
      </c>
      <c r="D53" s="39" t="n">
        <v>0.135</v>
      </c>
      <c r="E53" s="36" t="n">
        <v>4.49</v>
      </c>
      <c r="F53" s="13">
        <f>B53*ValorUTM</f>
        <v/>
      </c>
      <c r="G53" s="43">
        <f>C53*ValorUTM</f>
        <v/>
      </c>
      <c r="H53" s="13">
        <f>E53*ValorUTM</f>
        <v/>
      </c>
    </row>
    <row r="54">
      <c r="A54" t="inlineStr">
        <is>
          <t>Tramo 5</t>
        </is>
      </c>
      <c r="B54" s="41">
        <f>C53</f>
        <v/>
      </c>
      <c r="C54" s="42" t="n">
        <v>90</v>
      </c>
      <c r="D54" s="39" t="n">
        <v>0.23</v>
      </c>
      <c r="E54" s="36" t="n">
        <v>11.14</v>
      </c>
      <c r="F54" s="13">
        <f>B54*ValorUTM</f>
        <v/>
      </c>
      <c r="G54" s="43">
        <f>C54*ValorUTM</f>
        <v/>
      </c>
      <c r="H54" s="13">
        <f>E54*ValorUTM</f>
        <v/>
      </c>
    </row>
    <row r="55">
      <c r="A55" t="inlineStr">
        <is>
          <t>Tramo 6</t>
        </is>
      </c>
      <c r="B55" s="41">
        <f>C54</f>
        <v/>
      </c>
      <c r="C55" s="42" t="n">
        <v>120</v>
      </c>
      <c r="D55" s="39" t="n">
        <v>0.304</v>
      </c>
      <c r="E55" s="36" t="n">
        <v>17.8</v>
      </c>
      <c r="F55" s="13">
        <f>B55*ValorUTM</f>
        <v/>
      </c>
      <c r="G55" s="43">
        <f>C55*ValorUTM</f>
        <v/>
      </c>
      <c r="H55" s="13">
        <f>E55*ValorUTM</f>
        <v/>
      </c>
    </row>
    <row r="56">
      <c r="A56" t="inlineStr">
        <is>
          <t>Tramo 7</t>
        </is>
      </c>
      <c r="B56" s="41">
        <f>C55</f>
        <v/>
      </c>
      <c r="C56" s="42" t="n">
        <v>310</v>
      </c>
      <c r="D56" s="39" t="n">
        <v>0.35</v>
      </c>
      <c r="E56" s="36" t="n">
        <v>23.32</v>
      </c>
      <c r="F56" s="13">
        <f>B56*ValorUTM</f>
        <v/>
      </c>
      <c r="G56" s="43">
        <f>C56*ValorUTM</f>
        <v/>
      </c>
      <c r="H56" s="13">
        <f>E56*ValorUTM</f>
        <v/>
      </c>
    </row>
    <row r="57">
      <c r="A57" t="inlineStr">
        <is>
          <t>Tramo 8</t>
        </is>
      </c>
      <c r="B57" s="41">
        <f>C56</f>
        <v/>
      </c>
      <c r="C57" s="42" t="n">
        <v>1000000000000</v>
      </c>
      <c r="D57" s="39" t="n">
        <v>0.4</v>
      </c>
      <c r="E57" s="36" t="n">
        <v>38.82</v>
      </c>
      <c r="F57" s="13">
        <f>B57*ValorUTM</f>
        <v/>
      </c>
      <c r="G57" s="43">
        <f>C57*ValorUTM</f>
        <v/>
      </c>
      <c r="H57" s="13">
        <f>E57*ValorUTM</f>
        <v/>
      </c>
    </row>
    <row r="58">
      <c r="A58" s="3" t="inlineStr">
        <is>
          <t>La tabla va en UTM: con la UTM del mes, sus montos en pesos cambian con ella.</t>
        </is>
      </c>
    </row>
    <row r="60">
      <c r="A60" s="5" t="inlineStr">
        <is>
          <t>Asignación familiar (por carga)</t>
        </is>
      </c>
      <c r="B60" s="6" t="n"/>
      <c r="C60" s="6" t="n"/>
      <c r="D60" s="6" t="n"/>
      <c r="E60" s="6" t="n"/>
      <c r="F60" s="6" t="n"/>
      <c r="G60" s="6" t="n"/>
      <c r="H60" s="6" t="n"/>
    </row>
    <row r="61">
      <c r="A61" s="37" t="inlineStr"/>
      <c r="B61" s="38" t="inlineStr">
        <is>
          <t>Imponible hasta</t>
        </is>
      </c>
      <c r="C61" s="38" t="inlineStr">
        <is>
          <t>Monto por carga</t>
        </is>
      </c>
    </row>
    <row r="62">
      <c r="A62" t="inlineStr">
        <is>
          <t>Tramo 1</t>
        </is>
      </c>
      <c r="B62" s="44" t="n">
        <v>649039</v>
      </c>
      <c r="C62" s="7" t="n">
        <v>22601</v>
      </c>
    </row>
    <row r="63">
      <c r="A63" t="inlineStr">
        <is>
          <t>Tramo 2</t>
        </is>
      </c>
      <c r="B63" s="44" t="n">
        <v>947990</v>
      </c>
      <c r="C63" s="7" t="n">
        <v>13870</v>
      </c>
    </row>
    <row r="64">
      <c r="A64" t="inlineStr">
        <is>
          <t>Tramo 3</t>
        </is>
      </c>
      <c r="B64" s="44" t="n">
        <v>1478539</v>
      </c>
      <c r="C64" s="7" t="n">
        <v>4382</v>
      </c>
    </row>
    <row r="65">
      <c r="A65" t="inlineStr">
        <is>
          <t>Tramo 4</t>
        </is>
      </c>
      <c r="B65" s="44" t="n">
        <v>1000000000000</v>
      </c>
      <c r="C65" s="7" t="n">
        <v>0</v>
      </c>
    </row>
    <row r="66">
      <c r="A66" s="3" t="inlineStr">
        <is>
          <t>La paga la empresa y se la devuelve el Estado: no suma al costo empresa.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Jean Paul Troncoso</dc:creator>
  <dc:title>Sueldo líquido y costo empresa</dc:title>
  <dc:subject>Cifras de octubre de 2026</dc:subject>
  <dc:language>es-CL</dc:language>
  <dcterms:created xsi:type="dcterms:W3CDTF">2026-10-20T16:00:48Z</dcterms:created>
  <dcterms:modified xsi:type="dcterms:W3CDTF">2026-10-20T16:00:48Z</dcterms:modified>
  <cp:lastModifiedBy>Jean Paul Troncoso</cp:lastModifiedBy>
</cp:coreProperties>
</file>